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6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</definedNames>
  <calcPr fullCalcOnLoad="1"/>
</workbook>
</file>

<file path=xl/sharedStrings.xml><?xml version="1.0" encoding="utf-8"?>
<sst xmlns="http://schemas.openxmlformats.org/spreadsheetml/2006/main" count="699" uniqueCount="361">
  <si>
    <t>Горох</t>
  </si>
  <si>
    <t xml:space="preserve"> </t>
  </si>
  <si>
    <t>Чай</t>
  </si>
  <si>
    <t xml:space="preserve">Свинина </t>
  </si>
  <si>
    <t>Сардельки, сосиски</t>
  </si>
  <si>
    <t xml:space="preserve">Маргарин </t>
  </si>
  <si>
    <t>операция</t>
  </si>
  <si>
    <t>Свинина</t>
  </si>
  <si>
    <t>ковбаса варена</t>
  </si>
  <si>
    <t>кефір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</si>
  <si>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</si>
  <si>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</si>
  <si>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</si>
  <si>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</si>
  <si>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</si>
  <si>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</si>
  <si>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</si>
  <si>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</si>
  <si>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</si>
  <si>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</si>
  <si>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</si>
  <si>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</si>
  <si>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</si>
  <si>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</si>
  <si>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</si>
  <si>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</si>
  <si>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</si>
  <si>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</si>
  <si>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</si>
  <si>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</si>
  <si>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</si>
  <si>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</si>
  <si>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</si>
  <si>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</si>
  <si>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</si>
  <si>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</si>
  <si>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</si>
  <si>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</si>
  <si>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</si>
  <si>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</si>
  <si>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</si>
  <si>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</si>
  <si>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</si>
  <si>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</si>
  <si>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</si>
  <si>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</si>
  <si>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</si>
  <si>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</si>
  <si>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</si>
  <si>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</si>
  <si>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</si>
  <si>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</si>
  <si>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</si>
  <si>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</si>
  <si>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</si>
  <si>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</si>
  <si>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</si>
  <si>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</si>
  <si>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</si>
  <si>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</si>
  <si>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</si>
  <si>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</si>
  <si>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</si>
  <si>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</si>
  <si>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</si>
  <si>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</si>
  <si>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</si>
  <si>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</si>
  <si>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</si>
  <si>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</si>
  <si>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</si>
  <si>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</si>
  <si>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</si>
  <si>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>Огірки консервовані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</si>
  <si>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</si>
  <si>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</si>
  <si>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</si>
  <si>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</si>
  <si>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</si>
  <si>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</si>
  <si>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</si>
  <si>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</si>
  <si>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</si>
  <si>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</si>
  <si>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</si>
  <si>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</si>
  <si>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</si>
  <si>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</si>
  <si>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</si>
  <si>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</si>
  <si>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</si>
  <si>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</si>
  <si>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</si>
  <si>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</si>
  <si>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</si>
  <si>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</si>
  <si>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</si>
  <si>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</si>
  <si>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</si>
  <si>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</si>
  <si>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</si>
  <si>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</si>
  <si>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</si>
  <si>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</si>
  <si>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</si>
  <si>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виноград</t>
  </si>
  <si>
    <t>яблука свіжі</t>
  </si>
  <si>
    <t>банани свіжі</t>
  </si>
  <si>
    <t>сік фруктовий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</si>
  <si>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</si>
  <si>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</si>
  <si>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</si>
  <si>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</si>
  <si>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</si>
  <si>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</si>
  <si>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</si>
  <si>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</si>
  <si>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</si>
  <si>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</si>
  <si>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</si>
  <si>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</si>
  <si>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</si>
  <si>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</si>
  <si>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</si>
  <si>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</si>
  <si>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</si>
  <si>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</si>
  <si>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</si>
  <si>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</si>
  <si>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</si>
  <si>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</si>
  <si>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</si>
  <si>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</si>
  <si>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</si>
  <si>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</si>
  <si>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</si>
  <si>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</si>
  <si>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</si>
  <si>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</si>
  <si>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</si>
  <si>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</si>
  <si>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</si>
  <si>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</si>
  <si>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</si>
  <si>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</si>
  <si>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</si>
  <si>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</si>
  <si>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</si>
  <si>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</si>
  <si>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</si>
  <si>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</si>
  <si>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</si>
  <si>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</si>
  <si>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</si>
  <si>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</si>
  <si>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</si>
  <si>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</si>
  <si>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</si>
  <si>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котлета (із свинини)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</si>
  <si>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</si>
  <si>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</si>
  <si>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</si>
  <si>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</si>
  <si>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</si>
  <si>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</si>
  <si>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</si>
  <si>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</si>
  <si>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</si>
  <si>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</si>
  <si>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</si>
  <si>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</si>
  <si>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</si>
  <si>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</si>
  <si>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</si>
  <si>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</si>
  <si>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</si>
  <si>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</si>
  <si>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</si>
  <si>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</si>
  <si>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</si>
  <si>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</si>
  <si>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</si>
  <si>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</si>
  <si>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</si>
  <si>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</si>
  <si>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</si>
  <si>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</si>
  <si>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</si>
  <si>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</si>
  <si>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</si>
  <si>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</si>
  <si>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</si>
  <si>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</si>
  <si>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</si>
  <si>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</si>
  <si>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</si>
  <si>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</si>
  <si>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</si>
  <si>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</si>
  <si>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круасан</t>
  </si>
  <si>
    <t>кекс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</si>
  <si>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</si>
  <si>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t>шт.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</si>
  <si>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</si>
  <si>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</si>
  <si>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</si>
  <si>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</si>
  <si>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</si>
  <si>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</si>
  <si>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</si>
  <si>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ЗАВТРАК</t>
  </si>
  <si>
    <t>ОБЕД</t>
  </si>
  <si>
    <t>ПОЛДНИК</t>
  </si>
  <si>
    <t>УЖИН</t>
  </si>
  <si>
    <t>середні 10-13р.</t>
  </si>
  <si>
    <t>молоко кипячене</t>
  </si>
  <si>
    <t>вермішель відварна</t>
  </si>
  <si>
    <t>огірок консервований</t>
  </si>
  <si>
    <t>мед бджолиний</t>
  </si>
  <si>
    <t>1 шт</t>
  </si>
  <si>
    <t>цена</t>
  </si>
  <si>
    <t>ЦЕНА хліб пшеничний</t>
  </si>
  <si>
    <t>ЦЕНА хліб житній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</si>
  <si>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</si>
  <si>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</si>
  <si>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</si>
  <si>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</si>
  <si>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</si>
  <si>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</si>
  <si>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</si>
  <si>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</si>
  <si>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</si>
  <si>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</si>
  <si>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</si>
  <si>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</si>
  <si>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</si>
  <si>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</si>
  <si>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</si>
  <si>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</si>
  <si>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</si>
  <si>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</si>
  <si>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риба смажена</t>
  </si>
  <si>
    <t>оладки із сметаною</t>
  </si>
  <si>
    <t>Родзинки</t>
  </si>
  <si>
    <t>млинці із повидлом у сметанному соусі</t>
  </si>
  <si>
    <t>морква припущена з сметаною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</si>
  <si>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</si>
  <si>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</si>
  <si>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</si>
  <si>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</si>
  <si>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</si>
  <si>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</si>
  <si>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</si>
  <si>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</si>
  <si>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</si>
  <si>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</si>
  <si>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</si>
  <si>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</si>
  <si>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</si>
  <si>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</si>
  <si>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</si>
  <si>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Зефір</t>
  </si>
  <si>
    <t>Пряники</t>
  </si>
  <si>
    <t>Шоколад</t>
  </si>
  <si>
    <t>Борщ із сметаною</t>
  </si>
  <si>
    <t>Запіканка макаронна з сиром кисломолочним</t>
  </si>
  <si>
    <t xml:space="preserve">Пудинг манний </t>
  </si>
  <si>
    <t xml:space="preserve"> Суп молочний рисовий</t>
  </si>
  <si>
    <t>каша молочна манна</t>
  </si>
  <si>
    <t>Суп молочний з гречкою</t>
  </si>
  <si>
    <t>Каша ячмінна вязка</t>
  </si>
  <si>
    <t>Каша пшенична в'язка</t>
  </si>
  <si>
    <t>Соус білий</t>
  </si>
  <si>
    <t>плов з рису і мяса</t>
  </si>
  <si>
    <t>рагу овочеве з мясом</t>
  </si>
  <si>
    <t>печення по-домашньому</t>
  </si>
  <si>
    <t>бефстроганов</t>
  </si>
  <si>
    <t xml:space="preserve">піджарка з яловичини 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</si>
  <si>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</si>
  <si>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</si>
  <si>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</si>
  <si>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</si>
  <si>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</si>
  <si>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Яковенко Г.В.</t>
  </si>
  <si>
    <t>перець з мясом і рисом</t>
  </si>
  <si>
    <t>булочка</t>
  </si>
  <si>
    <t>огірки свіжі</t>
  </si>
  <si>
    <t>перець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</si>
  <si>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</si>
  <si>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</si>
  <si>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</si>
  <si>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</si>
  <si>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</si>
  <si>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</si>
  <si>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150/25</t>
  </si>
  <si>
    <t>200/7</t>
  </si>
  <si>
    <t>150/20</t>
  </si>
  <si>
    <t>225/25</t>
  </si>
  <si>
    <t>75/25</t>
  </si>
  <si>
    <t>75/50</t>
  </si>
  <si>
    <t>60/50</t>
  </si>
  <si>
    <t>50/50</t>
  </si>
  <si>
    <t>89/20</t>
  </si>
  <si>
    <t>315/35</t>
  </si>
  <si>
    <t>компот із свіжих яблук</t>
  </si>
  <si>
    <t>95/50</t>
  </si>
  <si>
    <t>салат із солоніх огірків та картоплі</t>
  </si>
  <si>
    <t>голубці ліниві з курячим мясом</t>
  </si>
  <si>
    <t>ікра буряково-морквяна</t>
  </si>
  <si>
    <t>суп харчо</t>
  </si>
  <si>
    <t xml:space="preserve">салат із солоних огірків </t>
  </si>
  <si>
    <t>квасоля суха</t>
  </si>
  <si>
    <t>бекон</t>
  </si>
  <si>
    <t>суп картопляний з квасолею</t>
  </si>
  <si>
    <t>Квасоля суха</t>
  </si>
  <si>
    <t>картопляне пюре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</si>
  <si>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 Г.Колько                                                        .</t>
    </r>
  </si>
  <si>
    <t>помідори свіжі</t>
  </si>
  <si>
    <t>хек запечений</t>
  </si>
  <si>
    <t>картопля запечена з куркумою</t>
  </si>
  <si>
    <t>соус каркаде</t>
  </si>
  <si>
    <t>чай каркаде</t>
  </si>
  <si>
    <t>салат з буряком та сухариками</t>
  </si>
  <si>
    <t>рогалик з повидлом</t>
  </si>
  <si>
    <t>картопляний гратен</t>
  </si>
  <si>
    <t>нагетси курячі</t>
  </si>
  <si>
    <t>полента</t>
  </si>
  <si>
    <t>кукурудзяна крупа</t>
  </si>
  <si>
    <t>крупа кукурудзяна</t>
  </si>
  <si>
    <t>бігос з гречкою</t>
  </si>
  <si>
    <t xml:space="preserve">Капуста свіжа </t>
  </si>
  <si>
    <t xml:space="preserve">капуста квашена </t>
  </si>
  <si>
    <t>Капуста квашена</t>
  </si>
  <si>
    <t>мак енд чіз</t>
  </si>
  <si>
    <t>палички курячі</t>
  </si>
  <si>
    <t>курячий шніцель</t>
  </si>
  <si>
    <t>суп овочевий</t>
  </si>
  <si>
    <t>кукурудзяна  крупа</t>
  </si>
  <si>
    <t>капуста квашена</t>
  </si>
  <si>
    <t>салат х буряком та ячневою кашею</t>
  </si>
  <si>
    <t>салат із капусти з насінням</t>
  </si>
  <si>
    <t>салат з яблуками та квашеною капустою</t>
  </si>
  <si>
    <t>салат табуле з ячневою кашею</t>
  </si>
  <si>
    <t>запіканка пшоняна з гарбузом</t>
  </si>
  <si>
    <t>гарбуз</t>
  </si>
  <si>
    <t>чорнослив</t>
  </si>
  <si>
    <t>плов фруктовий</t>
  </si>
  <si>
    <t>горошок зелений морожений</t>
  </si>
  <si>
    <t>насіння соняшника</t>
  </si>
  <si>
    <t>сардельки,сосиски</t>
  </si>
  <si>
    <t>омлет натуральний</t>
  </si>
  <si>
    <t>яєчня з твердим сиром</t>
  </si>
  <si>
    <t>оладки з яблуками</t>
  </si>
  <si>
    <t xml:space="preserve">Диетсестра   Шрамко Л.О.                                                                                                                                          Принял повар                                                                                                                                                                                                        </t>
  </si>
  <si>
    <t>Помідори свіжі</t>
  </si>
  <si>
    <t>суп картопляний з макаронами</t>
  </si>
  <si>
    <t>суп картопляний з гречкою</t>
  </si>
  <si>
    <t>суп з томатом та крупою</t>
  </si>
  <si>
    <t>йогурт</t>
  </si>
  <si>
    <t xml:space="preserve">     на  "13"  травня  2021 р.</t>
  </si>
  <si>
    <r>
      <t>"</t>
    </r>
    <r>
      <rPr>
        <u val="single"/>
        <sz val="20"/>
        <rFont val="Arial Cyr"/>
        <family val="0"/>
      </rPr>
      <t xml:space="preserve">   12   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                     05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21      </t>
    </r>
    <r>
      <rPr>
        <sz val="20"/>
        <rFont val="Arial Cyr"/>
        <family val="0"/>
      </rPr>
      <t>г.</t>
    </r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</si>
</sst>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0.0"/>
    <numFmt numFmtId="218" formatCode="0.000"/>
    <numFmt numFmtId="219" formatCode="#,##0.00&quot;₴&quot;"/>
  </numFmts>
  <fonts count="61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sz val="26"/>
      <name val="Arial Cyr"/>
      <family val="2"/>
    </font>
    <font>
      <sz val="14"/>
      <name val="Times New Roman"/>
      <family val="1"/>
    </font>
    <font>
      <b/>
      <sz val="16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0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15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50" fillId="7" borderId="1" applyNumberFormat="0" applyAlignment="0" applyProtection="0"/>
    <xf numFmtId="0" fontId="51" fillId="23" borderId="2" applyNumberFormat="0" applyAlignment="0" applyProtection="0"/>
    <xf numFmtId="0" fontId="52" fillId="23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4" borderId="7" applyNumberFormat="0" applyAlignment="0" applyProtection="0"/>
    <xf numFmtId="0" fontId="39" fillId="0" borderId="0" applyNumberFormat="0" applyFill="0" applyBorder="0" applyAlignment="0" applyProtection="0"/>
    <xf numFmtId="0" fontId="55" fillId="25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27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0" fillId="28" borderId="0" applyNumberFormat="0" applyBorder="0" applyAlignment="0" applyProtection="0"/>
  </cellStyleXfs>
  <cellXfs count="32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18" fontId="12" fillId="0" borderId="17" xfId="0" applyNumberFormat="1" applyFont="1" applyBorder="1" applyAlignment="1">
      <alignment horizontal="center" vertical="center" wrapText="1"/>
    </xf>
    <xf numFmtId="218" fontId="12" fillId="0" borderId="15" xfId="0" applyNumberFormat="1" applyFont="1" applyBorder="1" applyAlignment="1">
      <alignment horizontal="center" vertical="center" wrapText="1"/>
    </xf>
    <xf numFmtId="218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20" fillId="0" borderId="13" xfId="0" applyFont="1" applyBorder="1" applyAlignment="1">
      <alignment horizontal="center" vertical="top" wrapText="1"/>
    </xf>
    <xf numFmtId="0" fontId="10" fillId="0" borderId="23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218" fontId="12" fillId="0" borderId="24" xfId="0" applyNumberFormat="1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8" xfId="0" applyFont="1" applyBorder="1" applyAlignment="1">
      <alignment horizontal="left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18" fontId="12" fillId="0" borderId="3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26" fillId="0" borderId="0" xfId="0" applyFont="1" applyAlignment="1">
      <alignment/>
    </xf>
    <xf numFmtId="0" fontId="19" fillId="0" borderId="0" xfId="0" applyFont="1" applyAlignment="1">
      <alignment/>
    </xf>
    <xf numFmtId="2" fontId="12" fillId="0" borderId="14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vertical="top" wrapText="1"/>
    </xf>
    <xf numFmtId="2" fontId="12" fillId="0" borderId="33" xfId="0" applyNumberFormat="1" applyFont="1" applyBorder="1" applyAlignment="1">
      <alignment horizontal="center" vertical="center" wrapText="1"/>
    </xf>
    <xf numFmtId="0" fontId="8" fillId="0" borderId="20" xfId="53" applyFont="1" applyBorder="1" applyAlignment="1">
      <alignment vertical="top" wrapText="1"/>
      <protection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left" vertical="justify" wrapText="1"/>
    </xf>
    <xf numFmtId="0" fontId="20" fillId="0" borderId="29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3" fillId="0" borderId="29" xfId="0" applyFont="1" applyBorder="1" applyAlignment="1">
      <alignment horizontal="center" vertical="center" textRotation="90" wrapText="1"/>
    </xf>
    <xf numFmtId="2" fontId="23" fillId="0" borderId="10" xfId="0" applyNumberFormat="1" applyFont="1" applyBorder="1" applyAlignment="1">
      <alignment horizontal="center" vertical="center" textRotation="90" wrapText="1"/>
    </xf>
    <xf numFmtId="0" fontId="23" fillId="0" borderId="10" xfId="0" applyNumberFormat="1" applyFont="1" applyBorder="1" applyAlignment="1">
      <alignment horizontal="center" vertical="center" textRotation="90"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210" fontId="0" fillId="0" borderId="0" xfId="43" applyFont="1" applyAlignment="1">
      <alignment horizontal="center"/>
    </xf>
    <xf numFmtId="210" fontId="0" fillId="0" borderId="15" xfId="43" applyFont="1" applyBorder="1" applyAlignment="1">
      <alignment horizontal="center"/>
    </xf>
    <xf numFmtId="0" fontId="0" fillId="0" borderId="10" xfId="0" applyFont="1" applyBorder="1" applyAlignment="1">
      <alignment/>
    </xf>
    <xf numFmtId="210" fontId="0" fillId="0" borderId="19" xfId="43" applyFont="1" applyBorder="1" applyAlignment="1">
      <alignment horizontal="center"/>
    </xf>
    <xf numFmtId="210" fontId="0" fillId="0" borderId="0" xfId="43" applyFont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210" fontId="0" fillId="0" borderId="10" xfId="43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2" fontId="22" fillId="0" borderId="19" xfId="0" applyNumberFormat="1" applyFont="1" applyBorder="1" applyAlignment="1">
      <alignment horizontal="right" vertical="center"/>
    </xf>
    <xf numFmtId="0" fontId="25" fillId="0" borderId="18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2" fontId="25" fillId="0" borderId="18" xfId="0" applyNumberFormat="1" applyFont="1" applyBorder="1" applyAlignment="1">
      <alignment horizontal="center" vertical="center" wrapText="1"/>
    </xf>
    <xf numFmtId="2" fontId="25" fillId="0" borderId="17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2" fontId="25" fillId="0" borderId="23" xfId="0" applyNumberFormat="1" applyFont="1" applyBorder="1" applyAlignment="1">
      <alignment horizontal="center" vertical="center" wrapText="1"/>
    </xf>
    <xf numFmtId="2" fontId="25" fillId="0" borderId="20" xfId="0" applyNumberFormat="1" applyFont="1" applyBorder="1" applyAlignment="1">
      <alignment horizontal="center" vertical="center" wrapText="1"/>
    </xf>
    <xf numFmtId="2" fontId="25" fillId="0" borderId="14" xfId="0" applyNumberFormat="1" applyFont="1" applyBorder="1" applyAlignment="1">
      <alignment horizontal="center" vertical="center" wrapText="1"/>
    </xf>
    <xf numFmtId="2" fontId="25" fillId="0" borderId="16" xfId="0" applyNumberFormat="1" applyFont="1" applyBorder="1" applyAlignment="1">
      <alignment horizontal="center" vertical="center" wrapText="1"/>
    </xf>
    <xf numFmtId="1" fontId="25" fillId="0" borderId="23" xfId="0" applyNumberFormat="1" applyFont="1" applyBorder="1" applyAlignment="1">
      <alignment horizontal="center" vertical="center" wrapText="1"/>
    </xf>
    <xf numFmtId="1" fontId="25" fillId="0" borderId="20" xfId="0" applyNumberFormat="1" applyFont="1" applyBorder="1" applyAlignment="1">
      <alignment horizontal="center" vertical="center" wrapText="1"/>
    </xf>
    <xf numFmtId="1" fontId="25" fillId="0" borderId="14" xfId="0" applyNumberFormat="1" applyFont="1" applyBorder="1" applyAlignment="1">
      <alignment horizontal="center" vertical="center" wrapText="1"/>
    </xf>
    <xf numFmtId="1" fontId="25" fillId="0" borderId="16" xfId="0" applyNumberFormat="1" applyFont="1" applyBorder="1" applyAlignment="1">
      <alignment horizontal="center" vertical="center" wrapText="1"/>
    </xf>
    <xf numFmtId="218" fontId="25" fillId="0" borderId="11" xfId="0" applyNumberFormat="1" applyFont="1" applyBorder="1" applyAlignment="1">
      <alignment horizontal="center" vertical="center" wrapText="1"/>
    </xf>
    <xf numFmtId="218" fontId="25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left" vertical="center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8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218" fontId="25" fillId="0" borderId="20" xfId="0" applyNumberFormat="1" applyFont="1" applyBorder="1" applyAlignment="1">
      <alignment horizontal="center" vertical="center" wrapText="1"/>
    </xf>
    <xf numFmtId="218" fontId="25" fillId="0" borderId="18" xfId="0" applyNumberFormat="1" applyFont="1" applyBorder="1" applyAlignment="1">
      <alignment horizontal="center" vertical="center" wrapText="1"/>
    </xf>
    <xf numFmtId="1" fontId="25" fillId="0" borderId="11" xfId="0" applyNumberFormat="1" applyFont="1" applyBorder="1" applyAlignment="1">
      <alignment horizontal="center" vertical="center" wrapText="1"/>
    </xf>
    <xf numFmtId="1" fontId="25" fillId="0" borderId="10" xfId="0" applyNumberFormat="1" applyFont="1" applyBorder="1" applyAlignment="1">
      <alignment horizontal="center" vertical="center" wrapText="1"/>
    </xf>
    <xf numFmtId="218" fontId="25" fillId="0" borderId="16" xfId="0" applyNumberFormat="1" applyFont="1" applyBorder="1" applyAlignment="1">
      <alignment horizontal="center" vertical="center" wrapText="1"/>
    </xf>
    <xf numFmtId="218" fontId="25" fillId="0" borderId="17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8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218" fontId="2" fillId="0" borderId="10" xfId="0" applyNumberFormat="1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2" fontId="15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2" fontId="15" fillId="0" borderId="18" xfId="0" applyNumberFormat="1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Relationship Id="rId2" Type="http://schemas.openxmlformats.org/officeDocument/2006/relationships/image" Target="../media/image19.emf" /><Relationship Id="rId3" Type="http://schemas.openxmlformats.org/officeDocument/2006/relationships/image" Target="../media/image21.emf" /><Relationship Id="rId4" Type="http://schemas.openxmlformats.org/officeDocument/2006/relationships/image" Target="../media/image17.emf" /><Relationship Id="rId5" Type="http://schemas.openxmlformats.org/officeDocument/2006/relationships/image" Target="../media/image22.emf" /><Relationship Id="rId6" Type="http://schemas.openxmlformats.org/officeDocument/2006/relationships/image" Target="../media/image35.emf" /><Relationship Id="rId7" Type="http://schemas.openxmlformats.org/officeDocument/2006/relationships/image" Target="../media/image34.emf" /><Relationship Id="rId8" Type="http://schemas.openxmlformats.org/officeDocument/2006/relationships/image" Target="../media/image20.emf" /><Relationship Id="rId9" Type="http://schemas.openxmlformats.org/officeDocument/2006/relationships/image" Target="../media/image36.emf" /><Relationship Id="rId10" Type="http://schemas.openxmlformats.org/officeDocument/2006/relationships/image" Target="../media/image37.emf" /><Relationship Id="rId11" Type="http://schemas.openxmlformats.org/officeDocument/2006/relationships/image" Target="../media/image33.emf" /><Relationship Id="rId12" Type="http://schemas.openxmlformats.org/officeDocument/2006/relationships/image" Target="../media/image32.emf" /><Relationship Id="rId13" Type="http://schemas.openxmlformats.org/officeDocument/2006/relationships/image" Target="../media/image31.emf" /><Relationship Id="rId14" Type="http://schemas.openxmlformats.org/officeDocument/2006/relationships/image" Target="../media/image30.emf" /><Relationship Id="rId15" Type="http://schemas.openxmlformats.org/officeDocument/2006/relationships/image" Target="../media/image29.emf" /><Relationship Id="rId16" Type="http://schemas.openxmlformats.org/officeDocument/2006/relationships/image" Target="../media/image1.emf" /><Relationship Id="rId17" Type="http://schemas.openxmlformats.org/officeDocument/2006/relationships/image" Target="../media/image28.emf" /><Relationship Id="rId18" Type="http://schemas.openxmlformats.org/officeDocument/2006/relationships/image" Target="../media/image27.emf" /><Relationship Id="rId19" Type="http://schemas.openxmlformats.org/officeDocument/2006/relationships/image" Target="../media/image26.emf" /><Relationship Id="rId20" Type="http://schemas.openxmlformats.org/officeDocument/2006/relationships/image" Target="../media/image25.emf" /><Relationship Id="rId21" Type="http://schemas.openxmlformats.org/officeDocument/2006/relationships/image" Target="../media/image24.emf" /><Relationship Id="rId22" Type="http://schemas.openxmlformats.org/officeDocument/2006/relationships/image" Target="../media/image2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171450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195375" y="4886325"/>
          <a:ext cx="4724400" cy="1762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51                                      56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195375" y="59055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195375" y="54197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514350</xdr:colOff>
      <xdr:row>1</xdr:row>
      <xdr:rowOff>28575</xdr:rowOff>
    </xdr:from>
    <xdr:to>
      <xdr:col>34</xdr:col>
      <xdr:colOff>495300</xdr:colOff>
      <xdr:row>9</xdr:row>
      <xdr:rowOff>95250</xdr:rowOff>
    </xdr:to>
    <xdr:pic>
      <xdr:nvPicPr>
        <xdr:cNvPr id="4" name="Picture 10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75800" y="371475"/>
          <a:ext cx="2343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8568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533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5180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82852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552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7200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0" y="77866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10125" y="795242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80305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0" y="810387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8186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91075" y="82657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52975" y="833151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84020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846867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657725" y="86058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67250" y="867727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87582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743450" y="89249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62500" y="899445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52975" y="90592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33925" y="91259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33925" y="91963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14875" y="92706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86300" y="93478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94145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848225" y="73152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A31" sqref="A31:E31"/>
    </sheetView>
  </sheetViews>
  <sheetFormatPr defaultColWidth="9.140625" defaultRowHeight="12.75"/>
  <sheetData>
    <row r="1" spans="1:5" ht="12.75">
      <c r="A1" s="123"/>
      <c r="B1" s="123"/>
      <c r="C1" s="123"/>
      <c r="D1" s="123"/>
      <c r="E1" s="123"/>
    </row>
    <row r="2" spans="1:5" ht="12.75">
      <c r="A2" s="122"/>
      <c r="B2" s="122"/>
      <c r="C2" s="122"/>
      <c r="D2" s="122"/>
      <c r="E2" s="122"/>
    </row>
    <row r="3" spans="1:5" ht="12.75">
      <c r="A3" s="122"/>
      <c r="B3" s="122"/>
      <c r="C3" s="122"/>
      <c r="D3" s="122"/>
      <c r="E3" s="122"/>
    </row>
    <row r="4" spans="1:5" ht="12.75">
      <c r="A4" s="122"/>
      <c r="B4" s="122"/>
      <c r="C4" s="122"/>
      <c r="D4" s="122"/>
      <c r="E4" s="122"/>
    </row>
    <row r="5" spans="1:5" ht="12.75">
      <c r="A5" s="122"/>
      <c r="B5" s="122"/>
      <c r="C5" s="122"/>
      <c r="D5" s="122"/>
      <c r="E5" s="122"/>
    </row>
    <row r="6" spans="1:5" ht="12.75">
      <c r="A6" s="122"/>
      <c r="B6" s="122"/>
      <c r="C6" s="122"/>
      <c r="D6" s="122"/>
      <c r="E6" s="122"/>
    </row>
    <row r="7" spans="1:5" ht="12.75">
      <c r="A7" s="122"/>
      <c r="B7" s="122"/>
      <c r="C7" s="122"/>
      <c r="D7" s="122"/>
      <c r="E7" s="122"/>
    </row>
    <row r="8" spans="1:5" ht="12.75">
      <c r="A8" s="122"/>
      <c r="B8" s="122"/>
      <c r="C8" s="122"/>
      <c r="D8" s="122"/>
      <c r="E8" s="122"/>
    </row>
    <row r="9" spans="1:5" ht="12.75">
      <c r="A9" s="122"/>
      <c r="B9" s="122"/>
      <c r="C9" s="122"/>
      <c r="D9" s="122"/>
      <c r="E9" s="122"/>
    </row>
    <row r="10" spans="1:5" ht="12.75">
      <c r="A10" s="122"/>
      <c r="B10" s="122"/>
      <c r="C10" s="122"/>
      <c r="D10" s="122"/>
      <c r="E10" s="122"/>
    </row>
    <row r="11" spans="1:5" ht="12.75">
      <c r="A11" s="122"/>
      <c r="B11" s="122"/>
      <c r="C11" s="122"/>
      <c r="D11" s="122"/>
      <c r="E11" s="122"/>
    </row>
    <row r="12" spans="1:5" ht="12.75">
      <c r="A12" s="122"/>
      <c r="B12" s="122"/>
      <c r="C12" s="122"/>
      <c r="D12" s="122"/>
      <c r="E12" s="122"/>
    </row>
    <row r="13" spans="1:5" ht="12.75">
      <c r="A13" s="122"/>
      <c r="B13" s="122"/>
      <c r="C13" s="122"/>
      <c r="D13" s="122"/>
      <c r="E13" s="122"/>
    </row>
    <row r="14" spans="1:5" ht="12.75">
      <c r="A14" s="122"/>
      <c r="B14" s="122"/>
      <c r="C14" s="122"/>
      <c r="D14" s="122"/>
      <c r="E14" s="122"/>
    </row>
    <row r="15" spans="1:5" ht="12.75">
      <c r="A15" s="122"/>
      <c r="B15" s="122"/>
      <c r="C15" s="122"/>
      <c r="D15" s="122"/>
      <c r="E15" s="122"/>
    </row>
    <row r="16" spans="1:5" ht="12.75">
      <c r="A16" s="122"/>
      <c r="B16" s="122"/>
      <c r="C16" s="122"/>
      <c r="D16" s="122"/>
      <c r="E16" s="122"/>
    </row>
    <row r="17" spans="1:5" ht="12.75">
      <c r="A17" s="122"/>
      <c r="B17" s="122"/>
      <c r="C17" s="122"/>
      <c r="D17" s="122"/>
      <c r="E17" s="122"/>
    </row>
    <row r="18" spans="1:5" ht="12.75">
      <c r="A18" s="122"/>
      <c r="B18" s="122"/>
      <c r="C18" s="122"/>
      <c r="D18" s="122"/>
      <c r="E18" s="122"/>
    </row>
    <row r="19" spans="1:5" ht="12.75">
      <c r="A19" s="122"/>
      <c r="B19" s="122"/>
      <c r="C19" s="122"/>
      <c r="D19" s="122"/>
      <c r="E19" s="122"/>
    </row>
    <row r="20" spans="1:5" ht="12.75">
      <c r="A20" s="122"/>
      <c r="B20" s="122"/>
      <c r="C20" s="122"/>
      <c r="D20" s="122"/>
      <c r="E20" s="122"/>
    </row>
    <row r="21" spans="1:5" ht="12.75">
      <c r="A21" s="122"/>
      <c r="B21" s="122"/>
      <c r="C21" s="122"/>
      <c r="D21" s="122"/>
      <c r="E21" s="122"/>
    </row>
    <row r="22" spans="1:5" ht="12.75">
      <c r="A22" s="122"/>
      <c r="B22" s="122"/>
      <c r="C22" s="122"/>
      <c r="D22" s="122"/>
      <c r="E22" s="122"/>
    </row>
    <row r="23" spans="1:5" ht="12.75">
      <c r="A23" s="122"/>
      <c r="B23" s="122"/>
      <c r="C23" s="122"/>
      <c r="D23" s="122"/>
      <c r="E23" s="122"/>
    </row>
    <row r="24" spans="1:5" ht="12.75">
      <c r="A24" s="122"/>
      <c r="B24" s="122"/>
      <c r="C24" s="122"/>
      <c r="D24" s="122"/>
      <c r="E24" s="122"/>
    </row>
    <row r="25" spans="1:10" ht="12.75">
      <c r="A25" s="121"/>
      <c r="B25" s="121"/>
      <c r="C25" s="121"/>
      <c r="D25" s="121"/>
      <c r="E25" s="121"/>
      <c r="F25" s="122"/>
      <c r="G25" s="122"/>
      <c r="H25" s="122"/>
      <c r="I25" s="122"/>
      <c r="J25" s="122"/>
    </row>
    <row r="26" spans="1:10" ht="12.75">
      <c r="A26" s="121"/>
      <c r="B26" s="121"/>
      <c r="C26" s="121"/>
      <c r="D26" s="121"/>
      <c r="E26" s="121"/>
      <c r="F26" s="121"/>
      <c r="G26" s="121"/>
      <c r="H26" s="121"/>
      <c r="I26" s="121"/>
      <c r="J26" s="121"/>
    </row>
    <row r="27" spans="1:10" ht="12.75">
      <c r="A27" s="121"/>
      <c r="B27" s="121"/>
      <c r="C27" s="121"/>
      <c r="D27" s="121"/>
      <c r="E27" s="121"/>
      <c r="F27" s="121"/>
      <c r="G27" s="121"/>
      <c r="H27" s="121"/>
      <c r="I27" s="121"/>
      <c r="J27" s="121"/>
    </row>
    <row r="28" spans="1:10" ht="12.75">
      <c r="A28" s="121"/>
      <c r="B28" s="121"/>
      <c r="C28" s="121"/>
      <c r="D28" s="121"/>
      <c r="E28" s="121"/>
      <c r="F28" s="121"/>
      <c r="G28" s="121"/>
      <c r="H28" s="121"/>
      <c r="I28" s="121"/>
      <c r="J28" s="121"/>
    </row>
    <row r="29" spans="1:10" ht="12.75">
      <c r="A29" s="121"/>
      <c r="B29" s="121"/>
      <c r="C29" s="121"/>
      <c r="D29" s="121"/>
      <c r="E29" s="121"/>
      <c r="F29" s="121"/>
      <c r="G29" s="121"/>
      <c r="H29" s="121"/>
      <c r="I29" s="121"/>
      <c r="J29" s="121"/>
    </row>
    <row r="30" spans="1:10" ht="12.75">
      <c r="A30" s="121"/>
      <c r="B30" s="121"/>
      <c r="C30" s="121"/>
      <c r="D30" s="121"/>
      <c r="E30" s="121"/>
      <c r="F30" s="121"/>
      <c r="G30" s="121"/>
      <c r="H30" s="121"/>
      <c r="I30" s="121"/>
      <c r="J30" s="121"/>
    </row>
    <row r="31" spans="1:10" ht="12.75">
      <c r="A31" s="121"/>
      <c r="B31" s="121"/>
      <c r="C31" s="121"/>
      <c r="D31" s="121"/>
      <c r="E31" s="121"/>
      <c r="F31" s="121"/>
      <c r="G31" s="121"/>
      <c r="H31" s="121"/>
      <c r="I31" s="121"/>
      <c r="J31" s="121"/>
    </row>
    <row r="32" spans="1:10" ht="12.75">
      <c r="A32" s="121"/>
      <c r="B32" s="121"/>
      <c r="C32" s="121"/>
      <c r="D32" s="121"/>
      <c r="E32" s="121"/>
      <c r="F32" s="121"/>
      <c r="G32" s="121"/>
      <c r="H32" s="121"/>
      <c r="I32" s="121"/>
      <c r="J32" s="121"/>
    </row>
    <row r="33" spans="1:10" ht="12.75">
      <c r="A33" s="121"/>
      <c r="B33" s="121"/>
      <c r="C33" s="121"/>
      <c r="D33" s="121"/>
      <c r="E33" s="121"/>
      <c r="F33" s="121"/>
      <c r="G33" s="121"/>
      <c r="H33" s="121"/>
      <c r="I33" s="121"/>
      <c r="J33" s="121"/>
    </row>
    <row r="34" spans="1:10" ht="12.75">
      <c r="A34" s="121"/>
      <c r="B34" s="121"/>
      <c r="C34" s="121"/>
      <c r="D34" s="121"/>
      <c r="E34" s="121"/>
      <c r="F34" s="121"/>
      <c r="G34" s="121"/>
      <c r="H34" s="121"/>
      <c r="I34" s="121"/>
      <c r="J34" s="121"/>
    </row>
    <row r="35" spans="1:10" ht="12.75">
      <c r="A35" s="121"/>
      <c r="B35" s="121"/>
      <c r="C35" s="121"/>
      <c r="D35" s="121"/>
      <c r="E35" s="121"/>
      <c r="F35" s="121"/>
      <c r="G35" s="121"/>
      <c r="H35" s="121"/>
      <c r="I35" s="121"/>
      <c r="J35" s="121"/>
    </row>
    <row r="36" spans="1:10" ht="12.75">
      <c r="A36" s="121"/>
      <c r="B36" s="121"/>
      <c r="C36" s="121"/>
      <c r="D36" s="121"/>
      <c r="E36" s="121"/>
      <c r="F36" s="121"/>
      <c r="G36" s="121"/>
      <c r="H36" s="121"/>
      <c r="I36" s="121"/>
      <c r="J36" s="121"/>
    </row>
    <row r="37" spans="1:10" ht="12.75">
      <c r="A37" s="121"/>
      <c r="B37" s="121"/>
      <c r="C37" s="121"/>
      <c r="D37" s="121"/>
      <c r="E37" s="121"/>
      <c r="F37" s="121"/>
      <c r="G37" s="121"/>
      <c r="H37" s="121"/>
      <c r="I37" s="121"/>
      <c r="J37" s="121"/>
    </row>
    <row r="38" spans="1:10" ht="12.75">
      <c r="A38" s="121"/>
      <c r="B38" s="121"/>
      <c r="C38" s="121"/>
      <c r="D38" s="121"/>
      <c r="E38" s="121"/>
      <c r="F38" s="121"/>
      <c r="G38" s="121"/>
      <c r="H38" s="121"/>
      <c r="I38" s="121"/>
      <c r="J38" s="121"/>
    </row>
    <row r="39" spans="1:10" ht="12.75">
      <c r="A39" s="121"/>
      <c r="B39" s="121"/>
      <c r="C39" s="121"/>
      <c r="D39" s="121"/>
      <c r="E39" s="121"/>
      <c r="F39" s="121"/>
      <c r="G39" s="121"/>
      <c r="H39" s="121"/>
      <c r="I39" s="121"/>
      <c r="J39" s="121"/>
    </row>
    <row r="40" spans="1:10" ht="12.75">
      <c r="A40" s="121"/>
      <c r="B40" s="121"/>
      <c r="C40" s="121"/>
      <c r="D40" s="121"/>
      <c r="E40" s="121"/>
      <c r="F40" s="121"/>
      <c r="G40" s="121"/>
      <c r="H40" s="121"/>
      <c r="I40" s="121"/>
      <c r="J40" s="121"/>
    </row>
    <row r="41" spans="1:10" ht="12.75">
      <c r="A41" s="121"/>
      <c r="B41" s="121"/>
      <c r="C41" s="121"/>
      <c r="D41" s="121"/>
      <c r="E41" s="121"/>
      <c r="F41" s="121"/>
      <c r="G41" s="121"/>
      <c r="H41" s="121"/>
      <c r="I41" s="121"/>
      <c r="J41" s="121"/>
    </row>
    <row r="42" spans="1:10" ht="12.75">
      <c r="A42" s="121"/>
      <c r="B42" s="121"/>
      <c r="C42" s="121"/>
      <c r="D42" s="121"/>
      <c r="E42" s="121"/>
      <c r="F42" s="121"/>
      <c r="G42" s="121"/>
      <c r="H42" s="121"/>
      <c r="I42" s="121"/>
      <c r="J42" s="121"/>
    </row>
    <row r="43" spans="1:10" ht="12.75">
      <c r="A43" s="121"/>
      <c r="B43" s="121"/>
      <c r="C43" s="121"/>
      <c r="D43" s="121"/>
      <c r="E43" s="121"/>
      <c r="F43" s="121"/>
      <c r="G43" s="121"/>
      <c r="H43" s="121"/>
      <c r="I43" s="121"/>
      <c r="J43" s="121"/>
    </row>
    <row r="44" spans="1:10" ht="12.75">
      <c r="A44" s="121"/>
      <c r="B44" s="121"/>
      <c r="C44" s="121"/>
      <c r="D44" s="121"/>
      <c r="E44" s="121"/>
      <c r="F44" s="121"/>
      <c r="G44" s="121"/>
      <c r="H44" s="121"/>
      <c r="I44" s="121"/>
      <c r="J44" s="121"/>
    </row>
    <row r="45" spans="1:10" ht="12.75">
      <c r="A45" s="121"/>
      <c r="B45" s="121"/>
      <c r="C45" s="121"/>
      <c r="D45" s="121"/>
      <c r="E45" s="121"/>
      <c r="F45" s="121"/>
      <c r="G45" s="121"/>
      <c r="H45" s="121"/>
      <c r="I45" s="121"/>
      <c r="J45" s="121"/>
    </row>
    <row r="46" spans="1:10" ht="12.75">
      <c r="A46" s="121"/>
      <c r="B46" s="121"/>
      <c r="C46" s="121"/>
      <c r="D46" s="121"/>
      <c r="E46" s="121"/>
      <c r="F46" s="121"/>
      <c r="G46" s="121"/>
      <c r="H46" s="121"/>
      <c r="I46" s="121"/>
      <c r="J46" s="121"/>
    </row>
    <row r="47" spans="1:10" ht="12.75">
      <c r="A47" s="121"/>
      <c r="B47" s="121"/>
      <c r="C47" s="121"/>
      <c r="D47" s="121"/>
      <c r="E47" s="121"/>
      <c r="F47" s="121"/>
      <c r="G47" s="121"/>
      <c r="H47" s="121"/>
      <c r="I47" s="121"/>
      <c r="J47" s="121"/>
    </row>
    <row r="48" spans="1:10" ht="12.75">
      <c r="A48" s="121"/>
      <c r="B48" s="121"/>
      <c r="C48" s="121"/>
      <c r="D48" s="121"/>
      <c r="E48" s="121"/>
      <c r="F48" s="121"/>
      <c r="G48" s="121"/>
      <c r="H48" s="121"/>
      <c r="I48" s="121"/>
      <c r="J48" s="121"/>
    </row>
    <row r="49" spans="1:10" ht="12.75">
      <c r="A49" s="121"/>
      <c r="B49" s="121"/>
      <c r="C49" s="121"/>
      <c r="D49" s="121"/>
      <c r="E49" s="121"/>
      <c r="F49" s="121"/>
      <c r="G49" s="121"/>
      <c r="H49" s="121"/>
      <c r="I49" s="121"/>
      <c r="J49" s="121"/>
    </row>
    <row r="50" spans="1:10" ht="12.75">
      <c r="A50" s="121"/>
      <c r="B50" s="121"/>
      <c r="C50" s="121"/>
      <c r="D50" s="121"/>
      <c r="E50" s="121"/>
      <c r="F50" s="121"/>
      <c r="G50" s="121"/>
      <c r="H50" s="121"/>
      <c r="I50" s="121"/>
      <c r="J50" s="121"/>
    </row>
    <row r="51" spans="1:10" ht="12.75">
      <c r="A51" s="121"/>
      <c r="B51" s="121"/>
      <c r="C51" s="121"/>
      <c r="D51" s="121"/>
      <c r="E51" s="121"/>
      <c r="F51" s="121"/>
      <c r="G51" s="121"/>
      <c r="H51" s="121"/>
      <c r="I51" s="121"/>
      <c r="J51" s="121"/>
    </row>
    <row r="52" spans="1:10" ht="12.75">
      <c r="A52" s="121"/>
      <c r="B52" s="121"/>
      <c r="C52" s="121"/>
      <c r="D52" s="121"/>
      <c r="E52" s="121"/>
      <c r="F52" s="121"/>
      <c r="G52" s="121"/>
      <c r="H52" s="121"/>
      <c r="I52" s="121"/>
      <c r="J52" s="121"/>
    </row>
    <row r="53" spans="1:10" ht="12.75">
      <c r="A53" s="121"/>
      <c r="B53" s="121"/>
      <c r="C53" s="121"/>
      <c r="D53" s="121"/>
      <c r="E53" s="121"/>
      <c r="F53" s="121"/>
      <c r="G53" s="121"/>
      <c r="H53" s="121"/>
      <c r="I53" s="121"/>
      <c r="J53" s="121"/>
    </row>
    <row r="54" spans="1:10" ht="12.75">
      <c r="A54" s="121"/>
      <c r="B54" s="121"/>
      <c r="C54" s="121"/>
      <c r="D54" s="121"/>
      <c r="E54" s="121"/>
      <c r="F54" s="121"/>
      <c r="G54" s="121"/>
      <c r="H54" s="121"/>
      <c r="I54" s="121"/>
      <c r="J54" s="121"/>
    </row>
    <row r="55" spans="6:10" ht="12.75">
      <c r="F55" s="121"/>
      <c r="G55" s="121"/>
      <c r="H55" s="121"/>
      <c r="I55" s="121"/>
      <c r="J55" s="121"/>
    </row>
    <row r="56" spans="6:10" ht="12.75">
      <c r="F56" s="119"/>
      <c r="G56" s="119"/>
      <c r="H56" s="119"/>
      <c r="I56" s="119"/>
      <c r="J56" s="120"/>
    </row>
    <row r="57" spans="6:10" ht="12.75">
      <c r="F57" s="119"/>
      <c r="G57" s="119"/>
      <c r="H57" s="119"/>
      <c r="I57" s="119"/>
      <c r="J57" s="120"/>
    </row>
    <row r="58" spans="6:10" ht="12.75">
      <c r="F58" s="119"/>
      <c r="G58" s="119"/>
      <c r="H58" s="119"/>
      <c r="I58" s="119"/>
      <c r="J58" s="120"/>
    </row>
    <row r="59" spans="6:10" ht="12.75">
      <c r="F59" s="119"/>
      <c r="G59" s="119"/>
      <c r="H59" s="119"/>
      <c r="I59" s="119"/>
      <c r="J59" s="120"/>
    </row>
    <row r="60" spans="6:10" ht="12.75">
      <c r="F60" s="119"/>
      <c r="G60" s="119"/>
      <c r="H60" s="119"/>
      <c r="I60" s="119"/>
      <c r="J60" s="120"/>
    </row>
    <row r="61" spans="6:10" ht="12.75">
      <c r="F61" s="119"/>
      <c r="G61" s="119"/>
      <c r="H61" s="119"/>
      <c r="I61" s="119"/>
      <c r="J61" s="120"/>
    </row>
    <row r="62" spans="6:10" ht="12.75">
      <c r="F62" s="119"/>
      <c r="G62" s="119"/>
      <c r="H62" s="119"/>
      <c r="I62" s="119"/>
      <c r="J62" s="120"/>
    </row>
    <row r="63" spans="6:10" ht="12.75">
      <c r="F63" s="119"/>
      <c r="G63" s="119"/>
      <c r="H63" s="119"/>
      <c r="I63" s="119"/>
      <c r="J63" s="120"/>
    </row>
    <row r="64" spans="6:10" ht="12.75">
      <c r="F64" s="119"/>
      <c r="G64" s="119"/>
      <c r="H64" s="119"/>
      <c r="I64" s="119"/>
      <c r="J64" s="120"/>
    </row>
    <row r="65" spans="6:10" ht="12.75">
      <c r="F65" s="119"/>
      <c r="G65" s="119"/>
      <c r="H65" s="119"/>
      <c r="I65" s="119"/>
      <c r="J65" s="120"/>
    </row>
    <row r="66" spans="6:10" ht="12.75">
      <c r="F66" s="119"/>
      <c r="G66" s="119"/>
      <c r="H66" s="119"/>
      <c r="I66" s="119"/>
      <c r="J66" s="120"/>
    </row>
    <row r="67" spans="6:10" ht="12.75">
      <c r="F67" s="119"/>
      <c r="G67" s="119"/>
      <c r="H67" s="119"/>
      <c r="I67" s="119"/>
      <c r="J67" s="120"/>
    </row>
    <row r="68" spans="6:10" ht="12.75">
      <c r="F68" s="119"/>
      <c r="G68" s="119"/>
      <c r="H68" s="119"/>
      <c r="I68" s="119"/>
      <c r="J68" s="120"/>
    </row>
    <row r="69" spans="6:10" ht="12.75">
      <c r="F69" s="119"/>
      <c r="G69" s="119"/>
      <c r="H69" s="119"/>
      <c r="I69" s="119"/>
      <c r="J69" s="120"/>
    </row>
    <row r="70" spans="6:10" ht="12.75">
      <c r="F70" s="119"/>
      <c r="G70" s="119"/>
      <c r="H70" s="119"/>
      <c r="I70" s="119"/>
      <c r="J70" s="120"/>
    </row>
    <row r="71" spans="6:10" ht="12.75">
      <c r="F71" s="119"/>
      <c r="G71" s="119"/>
      <c r="H71" s="119"/>
      <c r="I71" s="119"/>
      <c r="J71" s="120"/>
    </row>
    <row r="72" spans="6:10" ht="12.75">
      <c r="F72" s="119"/>
      <c r="G72" s="119"/>
      <c r="H72" s="119"/>
      <c r="I72" s="119"/>
      <c r="J72" s="120"/>
    </row>
    <row r="73" spans="6:10" ht="12.75">
      <c r="F73" s="119"/>
      <c r="G73" s="119"/>
      <c r="H73" s="119"/>
      <c r="I73" s="119"/>
      <c r="J73" s="120"/>
    </row>
    <row r="74" spans="6:10" ht="12.75">
      <c r="F74" s="119"/>
      <c r="G74" s="119"/>
      <c r="H74" s="119"/>
      <c r="I74" s="119"/>
      <c r="J74" s="120"/>
    </row>
    <row r="75" spans="6:10" ht="12.75">
      <c r="F75" s="114"/>
      <c r="G75" s="114"/>
      <c r="H75" s="114"/>
      <c r="I75" s="114"/>
      <c r="J75" s="115"/>
    </row>
    <row r="76" spans="6:10" ht="12.75">
      <c r="F76" s="116"/>
      <c r="G76" s="117"/>
      <c r="H76" s="117"/>
      <c r="I76" s="117"/>
      <c r="J76" s="118"/>
    </row>
    <row r="77" spans="6:10" ht="12.75">
      <c r="F77" s="116"/>
      <c r="G77" s="117"/>
      <c r="H77" s="117"/>
      <c r="I77" s="117"/>
      <c r="J77" s="118"/>
    </row>
    <row r="78" spans="6:10" ht="12.75">
      <c r="F78" s="116"/>
      <c r="G78" s="117"/>
      <c r="H78" s="117"/>
      <c r="I78" s="117"/>
      <c r="J78" s="118"/>
    </row>
    <row r="79" spans="6:10" ht="12.75">
      <c r="F79" s="116"/>
      <c r="G79" s="117"/>
      <c r="H79" s="117"/>
      <c r="I79" s="117"/>
      <c r="J79" s="118"/>
    </row>
    <row r="80" spans="6:10" ht="12.75">
      <c r="F80" s="116"/>
      <c r="G80" s="117"/>
      <c r="H80" s="117"/>
      <c r="I80" s="117"/>
      <c r="J80" s="118"/>
    </row>
    <row r="81" spans="6:10" ht="12.75">
      <c r="F81" s="116"/>
      <c r="G81" s="117"/>
      <c r="H81" s="117"/>
      <c r="I81" s="117"/>
      <c r="J81" s="118"/>
    </row>
    <row r="82" spans="6:10" ht="12.75">
      <c r="F82" s="116"/>
      <c r="G82" s="117"/>
      <c r="H82" s="117"/>
      <c r="I82" s="117"/>
      <c r="J82" s="118"/>
    </row>
  </sheetData>
  <sheetProtection/>
  <mergeCells count="112">
    <mergeCell ref="A35:E35"/>
    <mergeCell ref="A36:E36"/>
    <mergeCell ref="A45:E45"/>
    <mergeCell ref="A46:E46"/>
    <mergeCell ref="A39:E39"/>
    <mergeCell ref="A40:E40"/>
    <mergeCell ref="A37:E37"/>
    <mergeCell ref="A38:E38"/>
    <mergeCell ref="A43:E43"/>
    <mergeCell ref="A44:E44"/>
    <mergeCell ref="A41:E41"/>
    <mergeCell ref="A42:E42"/>
    <mergeCell ref="A53:E53"/>
    <mergeCell ref="A54:E54"/>
    <mergeCell ref="A49:E49"/>
    <mergeCell ref="A50:E50"/>
    <mergeCell ref="A51:E51"/>
    <mergeCell ref="A52:E52"/>
    <mergeCell ref="A47:E47"/>
    <mergeCell ref="A48:E48"/>
    <mergeCell ref="A23:E23"/>
    <mergeCell ref="A24:E24"/>
    <mergeCell ref="A33:E33"/>
    <mergeCell ref="A34:E34"/>
    <mergeCell ref="A27:E27"/>
    <mergeCell ref="A28:E28"/>
    <mergeCell ref="A31:E31"/>
    <mergeCell ref="A32:E32"/>
    <mergeCell ref="A29:E29"/>
    <mergeCell ref="A30:E30"/>
    <mergeCell ref="A7:E7"/>
    <mergeCell ref="A8:E8"/>
    <mergeCell ref="A25:E25"/>
    <mergeCell ref="A26:E26"/>
    <mergeCell ref="A15:E15"/>
    <mergeCell ref="A16:E16"/>
    <mergeCell ref="A19:E19"/>
    <mergeCell ref="A20:E20"/>
    <mergeCell ref="A21:E21"/>
    <mergeCell ref="A22:E22"/>
    <mergeCell ref="A1:E1"/>
    <mergeCell ref="A2:E2"/>
    <mergeCell ref="A3:E3"/>
    <mergeCell ref="A4:E4"/>
    <mergeCell ref="A5:E5"/>
    <mergeCell ref="A6:E6"/>
    <mergeCell ref="F25:J25"/>
    <mergeCell ref="F26:J26"/>
    <mergeCell ref="A9:E9"/>
    <mergeCell ref="A10:E10"/>
    <mergeCell ref="A11:E11"/>
    <mergeCell ref="A12:E12"/>
    <mergeCell ref="A17:E17"/>
    <mergeCell ref="A18:E18"/>
    <mergeCell ref="A13:E13"/>
    <mergeCell ref="A14:E14"/>
    <mergeCell ref="F31:J31"/>
    <mergeCell ref="F32:J32"/>
    <mergeCell ref="F33:J33"/>
    <mergeCell ref="F34:J34"/>
    <mergeCell ref="F27:J27"/>
    <mergeCell ref="F28:J28"/>
    <mergeCell ref="F29:J29"/>
    <mergeCell ref="F30:J30"/>
    <mergeCell ref="F39:J39"/>
    <mergeCell ref="F40:J40"/>
    <mergeCell ref="F41:J41"/>
    <mergeCell ref="F42:J42"/>
    <mergeCell ref="F35:J35"/>
    <mergeCell ref="F36:J36"/>
    <mergeCell ref="F37:J37"/>
    <mergeCell ref="F38:J38"/>
    <mergeCell ref="F47:J47"/>
    <mergeCell ref="F48:J48"/>
    <mergeCell ref="F49:J49"/>
    <mergeCell ref="F50:J50"/>
    <mergeCell ref="F43:J43"/>
    <mergeCell ref="F44:J44"/>
    <mergeCell ref="F45:J45"/>
    <mergeCell ref="F46:J46"/>
    <mergeCell ref="F55:J55"/>
    <mergeCell ref="F56:J56"/>
    <mergeCell ref="F57:J57"/>
    <mergeCell ref="F58:J58"/>
    <mergeCell ref="F51:J51"/>
    <mergeCell ref="F52:J52"/>
    <mergeCell ref="F53:J53"/>
    <mergeCell ref="F54:J54"/>
    <mergeCell ref="F63:J63"/>
    <mergeCell ref="F64:J64"/>
    <mergeCell ref="F65:J65"/>
    <mergeCell ref="F66:J66"/>
    <mergeCell ref="F59:J59"/>
    <mergeCell ref="F60:J60"/>
    <mergeCell ref="F61:J61"/>
    <mergeCell ref="F62:J62"/>
    <mergeCell ref="F71:J71"/>
    <mergeCell ref="F72:J72"/>
    <mergeCell ref="F73:J73"/>
    <mergeCell ref="F74:J74"/>
    <mergeCell ref="F67:J67"/>
    <mergeCell ref="F68:J68"/>
    <mergeCell ref="F69:J69"/>
    <mergeCell ref="F70:J70"/>
    <mergeCell ref="F75:J75"/>
    <mergeCell ref="F76:J76"/>
    <mergeCell ref="F81:J81"/>
    <mergeCell ref="F82:J82"/>
    <mergeCell ref="F77:J77"/>
    <mergeCell ref="F78:J78"/>
    <mergeCell ref="F79:J79"/>
    <mergeCell ref="F80:J8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49"/>
      <c r="B1" s="150"/>
      <c r="C1" s="150"/>
      <c r="D1" s="150"/>
      <c r="E1" s="151"/>
      <c r="F1" s="152"/>
      <c r="G1" s="149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30"/>
      <c r="AI1" s="130"/>
      <c r="AJ1" s="130"/>
      <c r="AK1" s="130"/>
      <c r="AL1" s="130"/>
      <c r="AM1" s="130"/>
    </row>
    <row r="2" spans="1:39" ht="12.75">
      <c r="A2" s="130"/>
      <c r="B2" s="130"/>
      <c r="C2" s="130"/>
      <c r="D2" s="130"/>
      <c r="E2" s="130"/>
      <c r="F2" s="153"/>
      <c r="G2" s="143"/>
      <c r="H2" s="144"/>
      <c r="I2" s="144"/>
      <c r="J2" s="144"/>
      <c r="K2" s="144"/>
      <c r="L2" s="144"/>
      <c r="M2" s="144"/>
      <c r="N2" s="145"/>
      <c r="O2" s="143"/>
      <c r="P2" s="144"/>
      <c r="Q2" s="144"/>
      <c r="R2" s="144"/>
      <c r="S2" s="144"/>
      <c r="T2" s="144"/>
      <c r="U2" s="144"/>
      <c r="V2" s="144"/>
      <c r="W2" s="145"/>
      <c r="X2" s="143"/>
      <c r="Y2" s="144"/>
      <c r="Z2" s="144"/>
      <c r="AA2" s="145"/>
      <c r="AB2" s="143"/>
      <c r="AC2" s="144"/>
      <c r="AD2" s="144"/>
      <c r="AE2" s="144"/>
      <c r="AF2" s="145"/>
      <c r="AG2" s="143"/>
      <c r="AH2" s="130"/>
      <c r="AI2" s="130"/>
      <c r="AJ2" s="130"/>
      <c r="AK2" s="130"/>
      <c r="AL2" s="130"/>
      <c r="AM2" s="130"/>
    </row>
    <row r="3" spans="1:39" ht="12.75">
      <c r="A3" s="130"/>
      <c r="B3" s="130"/>
      <c r="C3" s="130"/>
      <c r="D3" s="130"/>
      <c r="E3" s="130"/>
      <c r="F3" s="153"/>
      <c r="G3" s="146"/>
      <c r="H3" s="147"/>
      <c r="I3" s="147"/>
      <c r="J3" s="147"/>
      <c r="K3" s="147"/>
      <c r="L3" s="147"/>
      <c r="M3" s="147"/>
      <c r="N3" s="148"/>
      <c r="O3" s="146"/>
      <c r="P3" s="147"/>
      <c r="Q3" s="147"/>
      <c r="R3" s="147"/>
      <c r="S3" s="147"/>
      <c r="T3" s="147"/>
      <c r="U3" s="147"/>
      <c r="V3" s="147"/>
      <c r="W3" s="148"/>
      <c r="X3" s="146"/>
      <c r="Y3" s="147"/>
      <c r="Z3" s="147"/>
      <c r="AA3" s="148"/>
      <c r="AB3" s="146"/>
      <c r="AC3" s="147"/>
      <c r="AD3" s="147"/>
      <c r="AE3" s="147"/>
      <c r="AF3" s="148"/>
      <c r="AG3" s="146"/>
      <c r="AH3" s="143"/>
      <c r="AI3" s="144"/>
      <c r="AJ3" s="145"/>
      <c r="AK3" s="143"/>
      <c r="AL3" s="144"/>
      <c r="AM3" s="145"/>
    </row>
    <row r="4" spans="1:39" ht="12.75">
      <c r="A4" s="130"/>
      <c r="B4" s="130"/>
      <c r="C4" s="130"/>
      <c r="D4" s="130"/>
      <c r="E4" s="130"/>
      <c r="F4" s="154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46"/>
      <c r="AI4" s="147"/>
      <c r="AJ4" s="148"/>
      <c r="AK4" s="146"/>
      <c r="AL4" s="147"/>
      <c r="AM4" s="148"/>
    </row>
    <row r="5" spans="1:39" ht="12.75">
      <c r="A5" s="155"/>
      <c r="B5" s="155"/>
      <c r="C5" s="155"/>
      <c r="D5" s="155"/>
      <c r="E5" s="155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55"/>
      <c r="AI5" s="155"/>
      <c r="AJ5" s="155"/>
      <c r="AK5" s="155"/>
      <c r="AL5" s="155"/>
      <c r="AM5" s="155"/>
    </row>
    <row r="6" spans="1:39" ht="12.75">
      <c r="A6" s="122"/>
      <c r="B6" s="122"/>
      <c r="C6" s="122"/>
      <c r="D6" s="122"/>
      <c r="E6" s="12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21"/>
      <c r="AI6" s="121"/>
      <c r="AJ6" s="121"/>
      <c r="AK6" s="121"/>
      <c r="AL6" s="121"/>
      <c r="AM6" s="121"/>
    </row>
    <row r="7" spans="1:39" ht="12.75" customHeight="1">
      <c r="A7" s="156"/>
      <c r="B7" s="156"/>
      <c r="C7" s="156"/>
      <c r="D7" s="156"/>
      <c r="E7" s="156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21"/>
      <c r="AI7" s="121"/>
      <c r="AJ7" s="121"/>
      <c r="AK7" s="121"/>
      <c r="AL7" s="121"/>
      <c r="AM7" s="121"/>
    </row>
    <row r="8" spans="1:39" ht="12.75">
      <c r="A8" s="127"/>
      <c r="B8" s="127"/>
      <c r="C8" s="127"/>
      <c r="D8" s="127"/>
      <c r="E8" s="127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21"/>
      <c r="AI8" s="121"/>
      <c r="AJ8" s="121"/>
      <c r="AK8" s="121"/>
      <c r="AL8" s="121"/>
      <c r="AM8" s="121"/>
    </row>
    <row r="9" spans="1:39" ht="12.75">
      <c r="A9" s="127"/>
      <c r="B9" s="127"/>
      <c r="C9" s="127"/>
      <c r="D9" s="127"/>
      <c r="E9" s="127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21"/>
      <c r="AI9" s="121"/>
      <c r="AJ9" s="121"/>
      <c r="AK9" s="121"/>
      <c r="AL9" s="121"/>
      <c r="AM9" s="121"/>
    </row>
    <row r="10" spans="1:39" ht="12.75">
      <c r="A10" s="127"/>
      <c r="B10" s="127"/>
      <c r="C10" s="127"/>
      <c r="D10" s="127"/>
      <c r="E10" s="127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21"/>
      <c r="AI10" s="121"/>
      <c r="AJ10" s="121"/>
      <c r="AK10" s="121"/>
      <c r="AL10" s="121"/>
      <c r="AM10" s="121"/>
    </row>
    <row r="11" spans="1:39" ht="12.75" customHeight="1">
      <c r="A11" s="127"/>
      <c r="B11" s="127"/>
      <c r="C11" s="127"/>
      <c r="D11" s="127"/>
      <c r="E11" s="127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21"/>
      <c r="AI11" s="121"/>
      <c r="AJ11" s="121"/>
      <c r="AK11" s="121"/>
      <c r="AL11" s="121"/>
      <c r="AM11" s="121"/>
    </row>
    <row r="12" spans="1:39" ht="12.75">
      <c r="A12" s="127"/>
      <c r="B12" s="127"/>
      <c r="C12" s="127"/>
      <c r="D12" s="127"/>
      <c r="E12" s="127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21"/>
      <c r="AI12" s="121"/>
      <c r="AJ12" s="121"/>
      <c r="AK12" s="121"/>
      <c r="AL12" s="121"/>
      <c r="AM12" s="121"/>
    </row>
    <row r="13" spans="1:39" ht="12.75">
      <c r="A13" s="127"/>
      <c r="B13" s="127"/>
      <c r="C13" s="127"/>
      <c r="D13" s="127"/>
      <c r="E13" s="127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21"/>
      <c r="AI13" s="121"/>
      <c r="AJ13" s="121"/>
      <c r="AK13" s="121"/>
      <c r="AL13" s="121"/>
      <c r="AM13" s="121"/>
    </row>
    <row r="14" spans="1:39" ht="12.75">
      <c r="A14" s="127"/>
      <c r="B14" s="127"/>
      <c r="C14" s="127"/>
      <c r="D14" s="127"/>
      <c r="E14" s="127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21"/>
      <c r="AI14" s="121"/>
      <c r="AJ14" s="121"/>
      <c r="AK14" s="121"/>
      <c r="AL14" s="121"/>
      <c r="AM14" s="121"/>
    </row>
    <row r="15" spans="1:39" ht="12.75" customHeight="1">
      <c r="A15" s="127"/>
      <c r="B15" s="127"/>
      <c r="C15" s="127"/>
      <c r="D15" s="127"/>
      <c r="E15" s="127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21"/>
      <c r="AI15" s="121"/>
      <c r="AJ15" s="121"/>
      <c r="AK15" s="121"/>
      <c r="AL15" s="121"/>
      <c r="AM15" s="121"/>
    </row>
    <row r="16" spans="1:39" ht="12.75" customHeight="1">
      <c r="A16" s="127"/>
      <c r="B16" s="127"/>
      <c r="C16" s="127"/>
      <c r="D16" s="127"/>
      <c r="E16" s="127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21"/>
      <c r="AI16" s="121"/>
      <c r="AJ16" s="121"/>
      <c r="AK16" s="121"/>
      <c r="AL16" s="121"/>
      <c r="AM16" s="121"/>
    </row>
    <row r="17" spans="1:39" ht="12.75" customHeight="1">
      <c r="A17" s="127"/>
      <c r="B17" s="127"/>
      <c r="C17" s="127"/>
      <c r="D17" s="127"/>
      <c r="E17" s="127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21"/>
      <c r="AI17" s="121"/>
      <c r="AJ17" s="121"/>
      <c r="AK17" s="121"/>
      <c r="AL17" s="121"/>
      <c r="AM17" s="121"/>
    </row>
    <row r="18" spans="1:39" ht="12.75" customHeight="1">
      <c r="A18" s="127"/>
      <c r="B18" s="127"/>
      <c r="C18" s="127"/>
      <c r="D18" s="127"/>
      <c r="E18" s="127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21"/>
      <c r="AI18" s="121"/>
      <c r="AJ18" s="121"/>
      <c r="AK18" s="121"/>
      <c r="AL18" s="121"/>
      <c r="AM18" s="121"/>
    </row>
    <row r="19" spans="1:39" ht="12.75" customHeight="1">
      <c r="A19" s="127"/>
      <c r="B19" s="127"/>
      <c r="C19" s="127"/>
      <c r="D19" s="127"/>
      <c r="E19" s="127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21"/>
      <c r="AI19" s="121"/>
      <c r="AJ19" s="121"/>
      <c r="AK19" s="121"/>
      <c r="AL19" s="121"/>
      <c r="AM19" s="121"/>
    </row>
    <row r="20" spans="1:39" ht="12.75" customHeight="1">
      <c r="A20" s="127"/>
      <c r="B20" s="127"/>
      <c r="C20" s="127"/>
      <c r="D20" s="127"/>
      <c r="E20" s="127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21"/>
      <c r="AI20" s="121"/>
      <c r="AJ20" s="121"/>
      <c r="AK20" s="121"/>
      <c r="AL20" s="121"/>
      <c r="AM20" s="121"/>
    </row>
    <row r="21" spans="1:39" ht="12.75" customHeight="1">
      <c r="A21" s="127"/>
      <c r="B21" s="127"/>
      <c r="C21" s="127"/>
      <c r="D21" s="127"/>
      <c r="E21" s="127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21"/>
      <c r="AI21" s="121"/>
      <c r="AJ21" s="121"/>
      <c r="AK21" s="121"/>
      <c r="AL21" s="121"/>
      <c r="AM21" s="121"/>
    </row>
    <row r="22" spans="1:39" ht="12.75" customHeight="1">
      <c r="A22" s="127"/>
      <c r="B22" s="127"/>
      <c r="C22" s="127"/>
      <c r="D22" s="127"/>
      <c r="E22" s="127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27" t="s">
        <v>17</v>
      </c>
      <c r="U22" s="127"/>
      <c r="V22" s="127"/>
      <c r="W22" s="127"/>
      <c r="X22" s="127"/>
      <c r="Y22" s="2"/>
      <c r="Z22" s="2"/>
      <c r="AA22" s="2"/>
      <c r="AB22" s="2"/>
      <c r="AC22" s="2"/>
      <c r="AD22" s="2"/>
      <c r="AE22" s="2"/>
      <c r="AF22" s="2"/>
      <c r="AG22" s="2"/>
      <c r="AH22" s="121"/>
      <c r="AI22" s="121"/>
      <c r="AJ22" s="121"/>
      <c r="AK22" s="121"/>
      <c r="AL22" s="121"/>
      <c r="AM22" s="121"/>
    </row>
    <row r="23" spans="1:39" ht="12.75">
      <c r="A23" s="127"/>
      <c r="B23" s="127"/>
      <c r="C23" s="127"/>
      <c r="D23" s="127"/>
      <c r="E23" s="127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27"/>
      <c r="U23" s="127"/>
      <c r="V23" s="127"/>
      <c r="W23" s="127"/>
      <c r="X23" s="127"/>
      <c r="Y23" s="2"/>
      <c r="Z23" s="2"/>
      <c r="AA23" s="2"/>
      <c r="AB23" s="2"/>
      <c r="AC23" s="2"/>
      <c r="AD23" s="2"/>
      <c r="AE23" s="2"/>
      <c r="AF23" s="2"/>
      <c r="AG23" s="2"/>
      <c r="AH23" s="121"/>
      <c r="AI23" s="121"/>
      <c r="AJ23" s="121"/>
      <c r="AK23" s="121"/>
      <c r="AL23" s="121"/>
      <c r="AM23" s="121"/>
    </row>
    <row r="24" spans="1:39" ht="12.75">
      <c r="A24" s="127"/>
      <c r="B24" s="127"/>
      <c r="C24" s="127"/>
      <c r="D24" s="127"/>
      <c r="E24" s="127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27" t="s">
        <v>16</v>
      </c>
      <c r="U24" s="127"/>
      <c r="V24" s="127"/>
      <c r="W24" s="127"/>
      <c r="X24" s="127"/>
      <c r="Y24" s="2"/>
      <c r="Z24" s="2"/>
      <c r="AA24" s="2"/>
      <c r="AB24" s="2"/>
      <c r="AC24" s="2"/>
      <c r="AD24" s="2"/>
      <c r="AE24" s="2"/>
      <c r="AF24" s="2"/>
      <c r="AG24" s="2"/>
      <c r="AH24" s="121"/>
      <c r="AI24" s="121"/>
      <c r="AJ24" s="121"/>
      <c r="AK24" s="121"/>
      <c r="AL24" s="121"/>
      <c r="AM24" s="121"/>
    </row>
    <row r="25" spans="1:39" ht="12.75" customHeight="1">
      <c r="A25" s="127"/>
      <c r="B25" s="127"/>
      <c r="C25" s="127"/>
      <c r="D25" s="127"/>
      <c r="E25" s="127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27"/>
      <c r="U25" s="127"/>
      <c r="V25" s="127"/>
      <c r="W25" s="127"/>
      <c r="X25" s="127"/>
      <c r="Y25" s="2"/>
      <c r="Z25" s="2"/>
      <c r="AA25" s="2"/>
      <c r="AB25" s="2"/>
      <c r="AC25" s="2"/>
      <c r="AD25" s="2"/>
      <c r="AE25" s="2"/>
      <c r="AF25" s="2"/>
      <c r="AG25" s="2"/>
      <c r="AH25" s="121"/>
      <c r="AI25" s="121"/>
      <c r="AJ25" s="121"/>
      <c r="AK25" s="121"/>
      <c r="AL25" s="121"/>
      <c r="AM25" s="121"/>
    </row>
    <row r="26" spans="1:39" ht="12.75" customHeight="1">
      <c r="A26" s="127"/>
      <c r="B26" s="127"/>
      <c r="C26" s="127"/>
      <c r="D26" s="127"/>
      <c r="E26" s="127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24"/>
      <c r="U26" s="124"/>
      <c r="V26" s="124"/>
      <c r="W26" s="124"/>
      <c r="X26" s="124"/>
      <c r="Y26" s="2"/>
      <c r="Z26" s="2"/>
      <c r="AA26" s="2"/>
      <c r="AB26" s="2"/>
      <c r="AC26" s="2"/>
      <c r="AD26" s="2"/>
      <c r="AE26" s="2"/>
      <c r="AF26" s="2"/>
      <c r="AG26" s="2"/>
      <c r="AH26" s="121"/>
      <c r="AI26" s="121"/>
      <c r="AJ26" s="121"/>
      <c r="AK26" s="121"/>
      <c r="AL26" s="121"/>
      <c r="AM26" s="121"/>
    </row>
    <row r="27" spans="1:39" ht="12.75">
      <c r="A27" s="127"/>
      <c r="B27" s="127"/>
      <c r="C27" s="127"/>
      <c r="D27" s="127"/>
      <c r="E27" s="127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24"/>
      <c r="U27" s="124"/>
      <c r="V27" s="124"/>
      <c r="W27" s="124"/>
      <c r="X27" s="124"/>
      <c r="Y27" s="2"/>
      <c r="Z27" s="2"/>
      <c r="AA27" s="2"/>
      <c r="AB27" s="2"/>
      <c r="AC27" s="2"/>
      <c r="AD27" s="2"/>
      <c r="AE27" s="2"/>
      <c r="AF27" s="2"/>
      <c r="AG27" s="2"/>
      <c r="AH27" s="121"/>
      <c r="AI27" s="121"/>
      <c r="AJ27" s="121"/>
      <c r="AK27" s="121"/>
      <c r="AL27" s="121"/>
      <c r="AM27" s="121"/>
    </row>
    <row r="28" spans="1:39" ht="12.75">
      <c r="A28" s="127"/>
      <c r="B28" s="127"/>
      <c r="C28" s="127"/>
      <c r="D28" s="127"/>
      <c r="E28" s="127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24"/>
      <c r="U28" s="124"/>
      <c r="V28" s="124"/>
      <c r="W28" s="124"/>
      <c r="X28" s="124"/>
      <c r="Y28" s="2"/>
      <c r="Z28" s="2"/>
      <c r="AA28" s="2"/>
      <c r="AB28" s="2"/>
      <c r="AC28" s="2"/>
      <c r="AD28" s="2"/>
      <c r="AE28" s="2"/>
      <c r="AF28" s="2"/>
      <c r="AG28" s="2"/>
      <c r="AH28" s="121"/>
      <c r="AI28" s="121"/>
      <c r="AJ28" s="121"/>
      <c r="AK28" s="121"/>
      <c r="AL28" s="121"/>
      <c r="AM28" s="121"/>
    </row>
    <row r="29" spans="1:39" ht="12.75">
      <c r="A29" s="127"/>
      <c r="B29" s="127"/>
      <c r="C29" s="127"/>
      <c r="D29" s="127"/>
      <c r="E29" s="127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24"/>
      <c r="U29" s="124"/>
      <c r="V29" s="124"/>
      <c r="W29" s="124"/>
      <c r="X29" s="124"/>
      <c r="Y29" s="2"/>
      <c r="Z29" s="2"/>
      <c r="AA29" s="2"/>
      <c r="AB29" s="2"/>
      <c r="AC29" s="2"/>
      <c r="AD29" s="2"/>
      <c r="AE29" s="2"/>
      <c r="AF29" s="2"/>
      <c r="AG29" s="2"/>
      <c r="AH29" s="121"/>
      <c r="AI29" s="121"/>
      <c r="AJ29" s="121"/>
      <c r="AK29" s="121"/>
      <c r="AL29" s="121"/>
      <c r="AM29" s="121"/>
    </row>
    <row r="30" spans="1:39" ht="12.75">
      <c r="A30" s="127"/>
      <c r="B30" s="127"/>
      <c r="C30" s="127"/>
      <c r="D30" s="127"/>
      <c r="E30" s="127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24"/>
      <c r="U30" s="124"/>
      <c r="V30" s="124"/>
      <c r="W30" s="124"/>
      <c r="X30" s="124"/>
      <c r="Y30" s="2"/>
      <c r="Z30" s="2"/>
      <c r="AA30" s="2"/>
      <c r="AB30" s="2"/>
      <c r="AC30" s="2"/>
      <c r="AD30" s="2"/>
      <c r="AE30" s="2"/>
      <c r="AF30" s="2"/>
      <c r="AG30" s="2"/>
      <c r="AH30" s="121"/>
      <c r="AI30" s="121"/>
      <c r="AJ30" s="121"/>
      <c r="AK30" s="121"/>
      <c r="AL30" s="121"/>
      <c r="AM30" s="121"/>
    </row>
    <row r="31" spans="1:39" ht="12.75">
      <c r="A31" s="127"/>
      <c r="B31" s="127"/>
      <c r="C31" s="127"/>
      <c r="D31" s="127"/>
      <c r="E31" s="127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24"/>
      <c r="U31" s="124"/>
      <c r="V31" s="124"/>
      <c r="W31" s="124"/>
      <c r="X31" s="124"/>
      <c r="Y31" s="2"/>
      <c r="Z31" s="2"/>
      <c r="AA31" s="2"/>
      <c r="AB31" s="2"/>
      <c r="AC31" s="2"/>
      <c r="AD31" s="2"/>
      <c r="AE31" s="2"/>
      <c r="AF31" s="2"/>
      <c r="AG31" s="2"/>
      <c r="AH31" s="121"/>
      <c r="AI31" s="121"/>
      <c r="AJ31" s="121"/>
      <c r="AK31" s="121"/>
      <c r="AL31" s="121"/>
      <c r="AM31" s="121"/>
    </row>
    <row r="32" spans="1:39" ht="12.75">
      <c r="A32" s="127"/>
      <c r="B32" s="127"/>
      <c r="C32" s="127"/>
      <c r="D32" s="127"/>
      <c r="E32" s="127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24"/>
      <c r="U32" s="124"/>
      <c r="V32" s="124"/>
      <c r="W32" s="124"/>
      <c r="X32" s="124"/>
      <c r="Y32" s="2"/>
      <c r="Z32" s="2"/>
      <c r="AA32" s="2"/>
      <c r="AB32" s="2"/>
      <c r="AC32" s="2"/>
      <c r="AD32" s="2"/>
      <c r="AE32" s="2"/>
      <c r="AF32" s="2"/>
      <c r="AG32" s="2"/>
      <c r="AH32" s="121"/>
      <c r="AI32" s="121"/>
      <c r="AJ32" s="121"/>
      <c r="AK32" s="121"/>
      <c r="AL32" s="121"/>
      <c r="AM32" s="121"/>
    </row>
    <row r="33" spans="1:39" ht="12.75">
      <c r="A33" s="127"/>
      <c r="B33" s="127"/>
      <c r="C33" s="127"/>
      <c r="D33" s="127"/>
      <c r="E33" s="127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24"/>
      <c r="U33" s="124"/>
      <c r="V33" s="124"/>
      <c r="W33" s="124"/>
      <c r="X33" s="124"/>
      <c r="Y33" s="2"/>
      <c r="Z33" s="2"/>
      <c r="AA33" s="2"/>
      <c r="AB33" s="2"/>
      <c r="AC33" s="2"/>
      <c r="AD33" s="2"/>
      <c r="AE33" s="2"/>
      <c r="AF33" s="2"/>
      <c r="AG33" s="2"/>
      <c r="AH33" s="121"/>
      <c r="AI33" s="121"/>
      <c r="AJ33" s="121"/>
      <c r="AK33" s="121"/>
      <c r="AL33" s="121"/>
      <c r="AM33" s="121"/>
    </row>
    <row r="34" spans="1:39" ht="12.75">
      <c r="A34" s="127"/>
      <c r="B34" s="127"/>
      <c r="C34" s="127"/>
      <c r="D34" s="127"/>
      <c r="E34" s="127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24"/>
      <c r="U34" s="124"/>
      <c r="V34" s="124"/>
      <c r="W34" s="124"/>
      <c r="X34" s="124"/>
      <c r="Y34" s="2"/>
      <c r="Z34" s="2"/>
      <c r="AA34" s="2"/>
      <c r="AB34" s="2"/>
      <c r="AC34" s="2"/>
      <c r="AD34" s="2"/>
      <c r="AE34" s="2"/>
      <c r="AF34" s="2"/>
      <c r="AG34" s="2"/>
      <c r="AH34" s="121"/>
      <c r="AI34" s="121"/>
      <c r="AJ34" s="121"/>
      <c r="AK34" s="121"/>
      <c r="AL34" s="121"/>
      <c r="AM34" s="121"/>
    </row>
    <row r="35" spans="1:39" ht="12.75">
      <c r="A35" s="127"/>
      <c r="B35" s="127"/>
      <c r="C35" s="127"/>
      <c r="D35" s="127"/>
      <c r="E35" s="127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24"/>
      <c r="U35" s="124"/>
      <c r="V35" s="124"/>
      <c r="W35" s="124"/>
      <c r="X35" s="124"/>
      <c r="Y35" s="2"/>
      <c r="Z35" s="2"/>
      <c r="AA35" s="2"/>
      <c r="AB35" s="2"/>
      <c r="AC35" s="2"/>
      <c r="AD35" s="2"/>
      <c r="AE35" s="2"/>
      <c r="AF35" s="2"/>
      <c r="AG35" s="2"/>
      <c r="AH35" s="121"/>
      <c r="AI35" s="121"/>
      <c r="AJ35" s="121"/>
      <c r="AK35" s="121"/>
      <c r="AL35" s="121"/>
      <c r="AM35" s="121"/>
    </row>
    <row r="36" spans="1:39" ht="12.75">
      <c r="A36" s="127"/>
      <c r="B36" s="127"/>
      <c r="C36" s="127"/>
      <c r="D36" s="127"/>
      <c r="E36" s="127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24"/>
      <c r="U36" s="124"/>
      <c r="V36" s="124"/>
      <c r="W36" s="124"/>
      <c r="X36" s="124"/>
      <c r="Y36" s="2"/>
      <c r="Z36" s="2"/>
      <c r="AA36" s="2"/>
      <c r="AB36" s="2"/>
      <c r="AC36" s="2"/>
      <c r="AD36" s="2"/>
      <c r="AE36" s="2"/>
      <c r="AF36" s="2"/>
      <c r="AG36" s="2"/>
      <c r="AH36" s="121"/>
      <c r="AI36" s="121"/>
      <c r="AJ36" s="121"/>
      <c r="AK36" s="121"/>
      <c r="AL36" s="121"/>
      <c r="AM36" s="121"/>
    </row>
    <row r="37" spans="1:39" ht="12.75">
      <c r="A37" s="127"/>
      <c r="B37" s="127"/>
      <c r="C37" s="127"/>
      <c r="D37" s="127"/>
      <c r="E37" s="127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24"/>
      <c r="U37" s="124"/>
      <c r="V37" s="124"/>
      <c r="W37" s="124"/>
      <c r="X37" s="124"/>
      <c r="Y37" s="2"/>
      <c r="Z37" s="2"/>
      <c r="AA37" s="2"/>
      <c r="AB37" s="2"/>
      <c r="AC37" s="2"/>
      <c r="AD37" s="2"/>
      <c r="AE37" s="2"/>
      <c r="AF37" s="2"/>
      <c r="AG37" s="2"/>
      <c r="AH37" s="121"/>
      <c r="AI37" s="121"/>
      <c r="AJ37" s="121"/>
      <c r="AK37" s="121"/>
      <c r="AL37" s="121"/>
      <c r="AM37" s="121"/>
    </row>
    <row r="38" spans="1:39" ht="12.75">
      <c r="A38" s="127"/>
      <c r="B38" s="127"/>
      <c r="C38" s="127"/>
      <c r="D38" s="127"/>
      <c r="E38" s="127"/>
      <c r="T38" s="124"/>
      <c r="U38" s="124"/>
      <c r="V38" s="124"/>
      <c r="W38" s="124"/>
      <c r="X38" s="124"/>
      <c r="AH38" s="121"/>
      <c r="AI38" s="121"/>
      <c r="AJ38" s="121"/>
      <c r="AK38" s="121"/>
      <c r="AL38" s="121"/>
      <c r="AM38" s="121"/>
    </row>
    <row r="39" spans="1:24" ht="12.75">
      <c r="A39" s="127"/>
      <c r="B39" s="127"/>
      <c r="C39" s="127"/>
      <c r="D39" s="127"/>
      <c r="E39" s="127"/>
      <c r="T39" s="124"/>
      <c r="U39" s="124"/>
      <c r="V39" s="124"/>
      <c r="W39" s="124"/>
      <c r="X39" s="124"/>
    </row>
    <row r="40" spans="1:24" ht="12.75">
      <c r="A40" s="127"/>
      <c r="B40" s="127"/>
      <c r="C40" s="127"/>
      <c r="D40" s="127"/>
      <c r="E40" s="127"/>
      <c r="T40" s="124"/>
      <c r="U40" s="124"/>
      <c r="V40" s="124"/>
      <c r="W40" s="124"/>
      <c r="X40" s="124"/>
    </row>
    <row r="41" spans="1:24" ht="12.75">
      <c r="A41" s="127"/>
      <c r="B41" s="127"/>
      <c r="C41" s="127"/>
      <c r="D41" s="127"/>
      <c r="E41" s="127"/>
      <c r="T41" s="124"/>
      <c r="U41" s="124"/>
      <c r="V41" s="124"/>
      <c r="W41" s="124"/>
      <c r="X41" s="124"/>
    </row>
    <row r="42" spans="1:24" ht="12.75">
      <c r="A42" s="127"/>
      <c r="B42" s="127"/>
      <c r="C42" s="127"/>
      <c r="D42" s="127"/>
      <c r="E42" s="127"/>
      <c r="T42" s="124"/>
      <c r="U42" s="124"/>
      <c r="V42" s="124"/>
      <c r="W42" s="124"/>
      <c r="X42" s="124"/>
    </row>
    <row r="43" spans="1:24" ht="12.75">
      <c r="A43" s="127"/>
      <c r="B43" s="127"/>
      <c r="C43" s="127"/>
      <c r="D43" s="127"/>
      <c r="E43" s="127"/>
      <c r="T43" s="124"/>
      <c r="U43" s="124"/>
      <c r="V43" s="124"/>
      <c r="W43" s="124"/>
      <c r="X43" s="124"/>
    </row>
    <row r="44" spans="1:24" ht="12.75">
      <c r="A44" s="127"/>
      <c r="B44" s="127"/>
      <c r="C44" s="127"/>
      <c r="D44" s="127"/>
      <c r="E44" s="127"/>
      <c r="T44" s="124"/>
      <c r="U44" s="124"/>
      <c r="V44" s="124"/>
      <c r="W44" s="124"/>
      <c r="X44" s="124"/>
    </row>
    <row r="45" spans="1:24" ht="12.75">
      <c r="A45" s="127"/>
      <c r="B45" s="127"/>
      <c r="C45" s="127"/>
      <c r="D45" s="127"/>
      <c r="E45" s="127"/>
      <c r="T45" s="124"/>
      <c r="U45" s="124"/>
      <c r="V45" s="124"/>
      <c r="W45" s="124"/>
      <c r="X45" s="124"/>
    </row>
    <row r="46" spans="1:24" ht="12.75">
      <c r="A46" s="127"/>
      <c r="B46" s="127"/>
      <c r="C46" s="127"/>
      <c r="D46" s="127"/>
      <c r="E46" s="127"/>
      <c r="T46" s="124"/>
      <c r="U46" s="124"/>
      <c r="V46" s="124"/>
      <c r="W46" s="124"/>
      <c r="X46" s="124"/>
    </row>
    <row r="47" spans="1:24" ht="12.75">
      <c r="A47" s="127"/>
      <c r="B47" s="127"/>
      <c r="C47" s="127"/>
      <c r="D47" s="127"/>
      <c r="E47" s="127"/>
      <c r="T47" s="124"/>
      <c r="U47" s="124"/>
      <c r="V47" s="124"/>
      <c r="W47" s="124"/>
      <c r="X47" s="124"/>
    </row>
    <row r="48" spans="1:24" ht="12.75">
      <c r="A48" s="127"/>
      <c r="B48" s="127"/>
      <c r="C48" s="127"/>
      <c r="D48" s="127"/>
      <c r="E48" s="127"/>
      <c r="T48" s="124"/>
      <c r="U48" s="124"/>
      <c r="V48" s="124"/>
      <c r="W48" s="124"/>
      <c r="X48" s="124"/>
    </row>
    <row r="49" spans="1:24" ht="12.75">
      <c r="A49" s="127"/>
      <c r="B49" s="127"/>
      <c r="C49" s="127"/>
      <c r="D49" s="127"/>
      <c r="E49" s="127"/>
      <c r="T49" s="124"/>
      <c r="U49" s="124"/>
      <c r="V49" s="124"/>
      <c r="W49" s="124"/>
      <c r="X49" s="124"/>
    </row>
    <row r="50" spans="1:24" ht="12.75">
      <c r="A50" s="127"/>
      <c r="B50" s="127"/>
      <c r="C50" s="127"/>
      <c r="D50" s="127"/>
      <c r="E50" s="127"/>
      <c r="T50" s="124"/>
      <c r="U50" s="124"/>
      <c r="V50" s="124"/>
      <c r="W50" s="124"/>
      <c r="X50" s="124"/>
    </row>
    <row r="51" spans="1:24" ht="12.75">
      <c r="A51" s="127"/>
      <c r="B51" s="127"/>
      <c r="C51" s="127"/>
      <c r="D51" s="127"/>
      <c r="E51" s="127"/>
      <c r="T51" s="124"/>
      <c r="U51" s="124"/>
      <c r="V51" s="124"/>
      <c r="W51" s="124"/>
      <c r="X51" s="124"/>
    </row>
    <row r="52" spans="1:24" ht="12.75">
      <c r="A52" s="127"/>
      <c r="B52" s="127"/>
      <c r="C52" s="127"/>
      <c r="D52" s="127"/>
      <c r="E52" s="127"/>
      <c r="T52" s="124"/>
      <c r="U52" s="124"/>
      <c r="V52" s="124"/>
      <c r="W52" s="124"/>
      <c r="X52" s="124"/>
    </row>
    <row r="53" spans="1:24" ht="12.75">
      <c r="A53" s="127"/>
      <c r="B53" s="127"/>
      <c r="C53" s="127"/>
      <c r="D53" s="127"/>
      <c r="E53" s="127"/>
      <c r="T53" s="124"/>
      <c r="U53" s="124"/>
      <c r="V53" s="124"/>
      <c r="W53" s="124"/>
      <c r="X53" s="124"/>
    </row>
    <row r="54" spans="1:24" ht="12.75">
      <c r="A54" s="127"/>
      <c r="B54" s="127"/>
      <c r="C54" s="127"/>
      <c r="D54" s="127"/>
      <c r="E54" s="127"/>
      <c r="T54" s="124"/>
      <c r="U54" s="124"/>
      <c r="V54" s="124"/>
      <c r="W54" s="124"/>
      <c r="X54" s="124"/>
    </row>
    <row r="55" spans="1:24" ht="12.75">
      <c r="A55" s="127"/>
      <c r="B55" s="127"/>
      <c r="C55" s="127"/>
      <c r="D55" s="127"/>
      <c r="E55" s="127"/>
      <c r="T55" s="124"/>
      <c r="U55" s="124"/>
      <c r="V55" s="124"/>
      <c r="W55" s="124"/>
      <c r="X55" s="124"/>
    </row>
    <row r="56" spans="1:24" ht="12.75">
      <c r="A56" s="127"/>
      <c r="B56" s="127"/>
      <c r="C56" s="127"/>
      <c r="D56" s="127"/>
      <c r="E56" s="127"/>
      <c r="T56" s="124"/>
      <c r="U56" s="124"/>
      <c r="V56" s="124"/>
      <c r="W56" s="124"/>
      <c r="X56" s="124"/>
    </row>
    <row r="57" spans="1:24" ht="12.75">
      <c r="A57" s="127"/>
      <c r="B57" s="127"/>
      <c r="C57" s="127"/>
      <c r="D57" s="127"/>
      <c r="E57" s="127"/>
      <c r="T57" s="124"/>
      <c r="U57" s="124"/>
      <c r="V57" s="124"/>
      <c r="W57" s="124"/>
      <c r="X57" s="124"/>
    </row>
    <row r="58" spans="1:24" ht="12.75">
      <c r="A58" s="127"/>
      <c r="B58" s="127"/>
      <c r="C58" s="127"/>
      <c r="D58" s="127"/>
      <c r="E58" s="127"/>
      <c r="T58" s="124"/>
      <c r="U58" s="124"/>
      <c r="V58" s="124"/>
      <c r="W58" s="124"/>
      <c r="X58" s="124"/>
    </row>
    <row r="59" spans="1:24" ht="12.75">
      <c r="A59" s="127"/>
      <c r="B59" s="127"/>
      <c r="C59" s="127"/>
      <c r="D59" s="127"/>
      <c r="E59" s="127"/>
      <c r="T59" s="124"/>
      <c r="U59" s="124"/>
      <c r="V59" s="124"/>
      <c r="W59" s="124"/>
      <c r="X59" s="124"/>
    </row>
    <row r="60" spans="1:24" ht="12.75">
      <c r="A60" s="127"/>
      <c r="B60" s="127"/>
      <c r="C60" s="127"/>
      <c r="D60" s="127"/>
      <c r="E60" s="127"/>
      <c r="T60" s="124"/>
      <c r="U60" s="124"/>
      <c r="V60" s="124"/>
      <c r="W60" s="124"/>
      <c r="X60" s="124"/>
    </row>
    <row r="61" spans="1:24" ht="12.75">
      <c r="A61" s="127"/>
      <c r="B61" s="127"/>
      <c r="C61" s="127"/>
      <c r="D61" s="127"/>
      <c r="E61" s="127"/>
      <c r="T61" s="124"/>
      <c r="U61" s="124"/>
      <c r="V61" s="124"/>
      <c r="W61" s="124"/>
      <c r="X61" s="124"/>
    </row>
    <row r="62" spans="1:24" ht="12.75">
      <c r="A62" s="124"/>
      <c r="B62" s="124"/>
      <c r="C62" s="124"/>
      <c r="D62" s="124"/>
      <c r="E62" s="124"/>
      <c r="T62" s="124"/>
      <c r="U62" s="124"/>
      <c r="V62" s="124"/>
      <c r="W62" s="124"/>
      <c r="X62" s="124"/>
    </row>
    <row r="63" spans="1:24" ht="12.75">
      <c r="A63" s="124"/>
      <c r="B63" s="124"/>
      <c r="C63" s="124"/>
      <c r="D63" s="124"/>
      <c r="E63" s="124"/>
      <c r="T63" s="124"/>
      <c r="U63" s="124"/>
      <c r="V63" s="124"/>
      <c r="W63" s="124"/>
      <c r="X63" s="124"/>
    </row>
    <row r="64" spans="1:24" ht="12.75">
      <c r="A64" s="124"/>
      <c r="B64" s="124"/>
      <c r="C64" s="124"/>
      <c r="D64" s="124"/>
      <c r="E64" s="124"/>
      <c r="T64" s="124"/>
      <c r="U64" s="124"/>
      <c r="V64" s="124"/>
      <c r="W64" s="124"/>
      <c r="X64" s="124"/>
    </row>
    <row r="65" spans="1:24" ht="12.75">
      <c r="A65" s="124"/>
      <c r="B65" s="124"/>
      <c r="C65" s="124"/>
      <c r="D65" s="124"/>
      <c r="E65" s="124"/>
      <c r="T65" s="124"/>
      <c r="U65" s="124"/>
      <c r="V65" s="124"/>
      <c r="W65" s="124"/>
      <c r="X65" s="124"/>
    </row>
    <row r="66" spans="1:24" ht="12.75">
      <c r="A66" s="124"/>
      <c r="B66" s="124"/>
      <c r="C66" s="124"/>
      <c r="D66" s="124"/>
      <c r="E66" s="124"/>
      <c r="T66" s="124"/>
      <c r="U66" s="124"/>
      <c r="V66" s="124"/>
      <c r="W66" s="124"/>
      <c r="X66" s="124"/>
    </row>
    <row r="67" spans="1:24" ht="12.75">
      <c r="A67" s="124"/>
      <c r="B67" s="124"/>
      <c r="C67" s="124"/>
      <c r="D67" s="124"/>
      <c r="E67" s="124"/>
      <c r="T67" s="124"/>
      <c r="U67" s="124"/>
      <c r="V67" s="124"/>
      <c r="W67" s="124"/>
      <c r="X67" s="124"/>
    </row>
    <row r="68" spans="1:24" ht="12.75">
      <c r="A68" s="124"/>
      <c r="B68" s="124"/>
      <c r="C68" s="124"/>
      <c r="D68" s="124"/>
      <c r="E68" s="124"/>
      <c r="T68" s="124"/>
      <c r="U68" s="124"/>
      <c r="V68" s="124"/>
      <c r="W68" s="124"/>
      <c r="X68" s="124"/>
    </row>
    <row r="69" spans="1:24" ht="12.75">
      <c r="A69" s="124"/>
      <c r="B69" s="124"/>
      <c r="C69" s="124"/>
      <c r="D69" s="124"/>
      <c r="E69" s="124"/>
      <c r="T69" s="124"/>
      <c r="U69" s="124"/>
      <c r="V69" s="124"/>
      <c r="W69" s="124"/>
      <c r="X69" s="124"/>
    </row>
    <row r="70" spans="1:24" ht="12.75">
      <c r="A70" s="124"/>
      <c r="B70" s="124"/>
      <c r="C70" s="124"/>
      <c r="D70" s="124"/>
      <c r="E70" s="124"/>
      <c r="T70" s="124"/>
      <c r="U70" s="124"/>
      <c r="V70" s="124"/>
      <c r="W70" s="124"/>
      <c r="X70" s="124"/>
    </row>
    <row r="71" spans="1:24" ht="12.75">
      <c r="A71" s="124"/>
      <c r="B71" s="124"/>
      <c r="C71" s="124"/>
      <c r="D71" s="124"/>
      <c r="E71" s="124"/>
      <c r="T71" s="124"/>
      <c r="U71" s="124"/>
      <c r="V71" s="124"/>
      <c r="W71" s="124"/>
      <c r="X71" s="124"/>
    </row>
    <row r="72" spans="1:24" ht="12.75">
      <c r="A72" s="124"/>
      <c r="B72" s="124"/>
      <c r="C72" s="124"/>
      <c r="D72" s="124"/>
      <c r="E72" s="124"/>
      <c r="T72" s="124"/>
      <c r="U72" s="124"/>
      <c r="V72" s="124"/>
      <c r="W72" s="124"/>
      <c r="X72" s="124"/>
    </row>
    <row r="73" spans="1:24" ht="12.75">
      <c r="A73" s="124"/>
      <c r="B73" s="124"/>
      <c r="C73" s="124"/>
      <c r="D73" s="124"/>
      <c r="E73" s="124"/>
      <c r="T73" s="124"/>
      <c r="U73" s="124"/>
      <c r="V73" s="124"/>
      <c r="W73" s="124"/>
      <c r="X73" s="124"/>
    </row>
    <row r="74" spans="1:24" ht="12.75">
      <c r="A74" s="124"/>
      <c r="B74" s="124"/>
      <c r="C74" s="124"/>
      <c r="D74" s="124"/>
      <c r="E74" s="124"/>
      <c r="T74" s="124"/>
      <c r="U74" s="124"/>
      <c r="V74" s="124"/>
      <c r="W74" s="124"/>
      <c r="X74" s="124"/>
    </row>
    <row r="75" spans="1:24" ht="12.75">
      <c r="A75" s="124"/>
      <c r="B75" s="124"/>
      <c r="C75" s="124"/>
      <c r="D75" s="124"/>
      <c r="E75" s="124"/>
      <c r="T75" s="124"/>
      <c r="U75" s="124"/>
      <c r="V75" s="124"/>
      <c r="W75" s="124"/>
      <c r="X75" s="124"/>
    </row>
    <row r="76" spans="1:24" ht="12.75">
      <c r="A76" s="124"/>
      <c r="B76" s="124"/>
      <c r="C76" s="124"/>
      <c r="D76" s="124"/>
      <c r="E76" s="124"/>
      <c r="T76" s="124"/>
      <c r="U76" s="124"/>
      <c r="V76" s="124"/>
      <c r="W76" s="124"/>
      <c r="X76" s="124"/>
    </row>
    <row r="77" spans="1:24" ht="12.75">
      <c r="A77" s="124"/>
      <c r="B77" s="124"/>
      <c r="C77" s="124"/>
      <c r="D77" s="124"/>
      <c r="E77" s="124"/>
      <c r="T77" s="124"/>
      <c r="U77" s="124"/>
      <c r="V77" s="124"/>
      <c r="W77" s="124"/>
      <c r="X77" s="124"/>
    </row>
    <row r="78" spans="1:24" ht="12.75">
      <c r="A78" s="124"/>
      <c r="B78" s="124"/>
      <c r="C78" s="124"/>
      <c r="D78" s="124"/>
      <c r="E78" s="124"/>
      <c r="T78" s="124"/>
      <c r="U78" s="124"/>
      <c r="V78" s="124"/>
      <c r="W78" s="124"/>
      <c r="X78" s="124"/>
    </row>
    <row r="79" spans="1:24" ht="12.75">
      <c r="A79" s="124"/>
      <c r="B79" s="124"/>
      <c r="C79" s="124"/>
      <c r="D79" s="124"/>
      <c r="E79" s="124"/>
      <c r="T79" s="124"/>
      <c r="U79" s="124"/>
      <c r="V79" s="124"/>
      <c r="W79" s="124"/>
      <c r="X79" s="124"/>
    </row>
    <row r="80" spans="1:24" ht="12.75">
      <c r="A80" s="124"/>
      <c r="B80" s="124"/>
      <c r="C80" s="124"/>
      <c r="D80" s="124"/>
      <c r="E80" s="124"/>
      <c r="T80" s="124"/>
      <c r="U80" s="124"/>
      <c r="V80" s="124"/>
      <c r="W80" s="124"/>
      <c r="X80" s="124"/>
    </row>
    <row r="81" spans="1:24" ht="12.75">
      <c r="A81" s="124"/>
      <c r="B81" s="124"/>
      <c r="C81" s="124"/>
      <c r="D81" s="124"/>
      <c r="E81" s="124"/>
      <c r="T81" s="124"/>
      <c r="U81" s="124"/>
      <c r="V81" s="124"/>
      <c r="W81" s="124"/>
      <c r="X81" s="124"/>
    </row>
    <row r="82" spans="1:24" ht="12.75">
      <c r="A82" s="124"/>
      <c r="B82" s="124"/>
      <c r="C82" s="124"/>
      <c r="D82" s="124"/>
      <c r="E82" s="124"/>
      <c r="T82" s="121"/>
      <c r="U82" s="121"/>
      <c r="V82" s="121"/>
      <c r="W82" s="121"/>
      <c r="X82" s="121"/>
    </row>
    <row r="83" spans="1:24" ht="12.75">
      <c r="A83" s="124"/>
      <c r="B83" s="124"/>
      <c r="C83" s="124"/>
      <c r="D83" s="124"/>
      <c r="E83" s="124"/>
      <c r="T83" s="121"/>
      <c r="U83" s="121"/>
      <c r="V83" s="121"/>
      <c r="W83" s="121"/>
      <c r="X83" s="121"/>
    </row>
    <row r="84" spans="1:24" ht="12.75">
      <c r="A84" s="124"/>
      <c r="B84" s="124"/>
      <c r="C84" s="124"/>
      <c r="D84" s="124"/>
      <c r="E84" s="124"/>
      <c r="T84" s="124"/>
      <c r="U84" s="124"/>
      <c r="V84" s="124"/>
      <c r="W84" s="124"/>
      <c r="X84" s="124"/>
    </row>
    <row r="85" spans="1:24" ht="12.75">
      <c r="A85" s="124"/>
      <c r="B85" s="124"/>
      <c r="C85" s="124"/>
      <c r="D85" s="124"/>
      <c r="E85" s="124"/>
      <c r="T85" s="124"/>
      <c r="U85" s="124"/>
      <c r="V85" s="124"/>
      <c r="W85" s="124"/>
      <c r="X85" s="124"/>
    </row>
    <row r="86" spans="1:24" ht="12.75">
      <c r="A86" s="124"/>
      <c r="B86" s="124"/>
      <c r="C86" s="124"/>
      <c r="D86" s="124"/>
      <c r="E86" s="124"/>
      <c r="T86" s="124"/>
      <c r="U86" s="124"/>
      <c r="V86" s="124"/>
      <c r="W86" s="124"/>
      <c r="X86" s="124"/>
    </row>
    <row r="87" spans="1:24" ht="12.75">
      <c r="A87" s="124"/>
      <c r="B87" s="124"/>
      <c r="C87" s="124"/>
      <c r="D87" s="124"/>
      <c r="E87" s="124"/>
      <c r="T87" s="124"/>
      <c r="U87" s="124"/>
      <c r="V87" s="124"/>
      <c r="W87" s="124"/>
      <c r="X87" s="124"/>
    </row>
    <row r="88" spans="1:24" ht="12.75">
      <c r="A88" s="124"/>
      <c r="B88" s="124"/>
      <c r="C88" s="124"/>
      <c r="D88" s="124"/>
      <c r="E88" s="124"/>
      <c r="T88" s="124"/>
      <c r="U88" s="124"/>
      <c r="V88" s="124"/>
      <c r="W88" s="124"/>
      <c r="X88" s="124"/>
    </row>
    <row r="89" spans="1:24" ht="12.75">
      <c r="A89" s="124"/>
      <c r="B89" s="124"/>
      <c r="C89" s="124"/>
      <c r="D89" s="124"/>
      <c r="E89" s="124"/>
      <c r="T89" s="124"/>
      <c r="U89" s="124"/>
      <c r="V89" s="124"/>
      <c r="W89" s="124"/>
      <c r="X89" s="124"/>
    </row>
    <row r="90" spans="1:24" ht="12.75">
      <c r="A90" s="124"/>
      <c r="B90" s="124"/>
      <c r="C90" s="124"/>
      <c r="D90" s="124"/>
      <c r="E90" s="124"/>
      <c r="T90" s="124"/>
      <c r="U90" s="124"/>
      <c r="V90" s="124"/>
      <c r="W90" s="124"/>
      <c r="X90" s="124"/>
    </row>
    <row r="91" spans="1:24" ht="12.75">
      <c r="A91" s="124"/>
      <c r="B91" s="124"/>
      <c r="C91" s="124"/>
      <c r="D91" s="124"/>
      <c r="E91" s="124"/>
      <c r="T91" s="124"/>
      <c r="U91" s="124"/>
      <c r="V91" s="124"/>
      <c r="W91" s="124"/>
      <c r="X91" s="124"/>
    </row>
    <row r="92" spans="1:24" ht="12.75">
      <c r="A92" s="124"/>
      <c r="B92" s="124"/>
      <c r="C92" s="124"/>
      <c r="D92" s="124"/>
      <c r="E92" s="124"/>
      <c r="T92" s="124"/>
      <c r="U92" s="124"/>
      <c r="V92" s="124"/>
      <c r="W92" s="124"/>
      <c r="X92" s="124"/>
    </row>
    <row r="93" spans="1:24" ht="12.75">
      <c r="A93" s="124"/>
      <c r="B93" s="124"/>
      <c r="C93" s="124"/>
      <c r="D93" s="124"/>
      <c r="E93" s="124"/>
      <c r="T93" s="124"/>
      <c r="U93" s="124"/>
      <c r="V93" s="124"/>
      <c r="W93" s="124"/>
      <c r="X93" s="124"/>
    </row>
    <row r="94" spans="1:24" ht="12.75">
      <c r="A94" s="124"/>
      <c r="B94" s="124"/>
      <c r="C94" s="124"/>
      <c r="D94" s="124"/>
      <c r="E94" s="124"/>
      <c r="T94" s="124"/>
      <c r="U94" s="124"/>
      <c r="V94" s="124"/>
      <c r="W94" s="124"/>
      <c r="X94" s="124"/>
    </row>
    <row r="95" spans="1:24" ht="12.75">
      <c r="A95" s="124"/>
      <c r="B95" s="124"/>
      <c r="C95" s="124"/>
      <c r="D95" s="124"/>
      <c r="E95" s="124"/>
      <c r="T95" s="124"/>
      <c r="U95" s="124"/>
      <c r="V95" s="124"/>
      <c r="W95" s="124"/>
      <c r="X95" s="124"/>
    </row>
    <row r="96" spans="1:24" ht="12.75">
      <c r="A96" s="124"/>
      <c r="B96" s="124"/>
      <c r="C96" s="124"/>
      <c r="D96" s="124"/>
      <c r="E96" s="124"/>
      <c r="T96" s="124"/>
      <c r="U96" s="124"/>
      <c r="V96" s="124"/>
      <c r="W96" s="124"/>
      <c r="X96" s="124"/>
    </row>
    <row r="97" spans="1:24" ht="12.75">
      <c r="A97" s="124"/>
      <c r="B97" s="124"/>
      <c r="C97" s="124"/>
      <c r="D97" s="124"/>
      <c r="E97" s="124"/>
      <c r="T97" s="124"/>
      <c r="U97" s="124"/>
      <c r="V97" s="124"/>
      <c r="W97" s="124"/>
      <c r="X97" s="124"/>
    </row>
    <row r="98" spans="1:24" ht="12.75">
      <c r="A98" s="124"/>
      <c r="B98" s="124"/>
      <c r="C98" s="124"/>
      <c r="D98" s="124"/>
      <c r="E98" s="124"/>
      <c r="T98" s="124"/>
      <c r="U98" s="124"/>
      <c r="V98" s="124"/>
      <c r="W98" s="124"/>
      <c r="X98" s="124"/>
    </row>
    <row r="99" spans="1:24" ht="12.75">
      <c r="A99" s="124"/>
      <c r="B99" s="124"/>
      <c r="C99" s="124"/>
      <c r="D99" s="124"/>
      <c r="E99" s="124"/>
      <c r="T99" s="124"/>
      <c r="U99" s="124"/>
      <c r="V99" s="124"/>
      <c r="W99" s="124"/>
      <c r="X99" s="124"/>
    </row>
    <row r="100" spans="1:24" ht="12.75">
      <c r="A100" s="124"/>
      <c r="B100" s="124"/>
      <c r="C100" s="124"/>
      <c r="D100" s="124"/>
      <c r="E100" s="124"/>
      <c r="T100" s="124"/>
      <c r="U100" s="124"/>
      <c r="V100" s="124"/>
      <c r="W100" s="124"/>
      <c r="X100" s="124"/>
    </row>
    <row r="101" spans="1:24" ht="12.75">
      <c r="A101" s="124"/>
      <c r="B101" s="124"/>
      <c r="C101" s="124"/>
      <c r="D101" s="124"/>
      <c r="E101" s="124"/>
      <c r="T101" s="124"/>
      <c r="U101" s="124"/>
      <c r="V101" s="124"/>
      <c r="W101" s="124"/>
      <c r="X101" s="124"/>
    </row>
    <row r="102" spans="1:24" ht="12.75">
      <c r="A102" s="124"/>
      <c r="B102" s="124"/>
      <c r="C102" s="124"/>
      <c r="D102" s="124"/>
      <c r="E102" s="124"/>
      <c r="T102" s="124"/>
      <c r="U102" s="124"/>
      <c r="V102" s="124"/>
      <c r="W102" s="124"/>
      <c r="X102" s="124"/>
    </row>
    <row r="103" spans="1:24" ht="12.75">
      <c r="A103" s="124"/>
      <c r="B103" s="124"/>
      <c r="C103" s="124"/>
      <c r="D103" s="124"/>
      <c r="E103" s="124"/>
      <c r="T103" s="124"/>
      <c r="U103" s="124"/>
      <c r="V103" s="124"/>
      <c r="W103" s="124"/>
      <c r="X103" s="124"/>
    </row>
    <row r="104" spans="1:24" ht="12.75">
      <c r="A104" s="124"/>
      <c r="B104" s="124"/>
      <c r="C104" s="124"/>
      <c r="D104" s="124"/>
      <c r="E104" s="124"/>
      <c r="T104" s="124"/>
      <c r="U104" s="124"/>
      <c r="V104" s="124"/>
      <c r="W104" s="124"/>
      <c r="X104" s="124"/>
    </row>
    <row r="105" spans="1:24" ht="12.75">
      <c r="A105" s="124"/>
      <c r="B105" s="124"/>
      <c r="C105" s="124"/>
      <c r="D105" s="124"/>
      <c r="E105" s="124"/>
      <c r="T105" s="124"/>
      <c r="U105" s="124"/>
      <c r="V105" s="124"/>
      <c r="W105" s="124"/>
      <c r="X105" s="124"/>
    </row>
    <row r="106" spans="1:5" ht="12.75">
      <c r="A106" s="124"/>
      <c r="B106" s="124"/>
      <c r="C106" s="124"/>
      <c r="D106" s="124"/>
      <c r="E106" s="124"/>
    </row>
    <row r="107" spans="1:5" ht="12.75">
      <c r="A107" s="124"/>
      <c r="B107" s="124"/>
      <c r="C107" s="124"/>
      <c r="D107" s="124"/>
      <c r="E107" s="124"/>
    </row>
    <row r="108" spans="1:5" ht="12.75">
      <c r="A108" s="124"/>
      <c r="B108" s="124"/>
      <c r="C108" s="124"/>
      <c r="D108" s="124"/>
      <c r="E108" s="124"/>
    </row>
    <row r="109" spans="1:5" ht="12.75">
      <c r="A109" s="124"/>
      <c r="B109" s="124"/>
      <c r="C109" s="124"/>
      <c r="D109" s="124"/>
      <c r="E109" s="124"/>
    </row>
    <row r="110" spans="1:5" ht="12.75">
      <c r="A110" s="124"/>
      <c r="B110" s="124"/>
      <c r="C110" s="124"/>
      <c r="D110" s="124"/>
      <c r="E110" s="124"/>
    </row>
    <row r="111" spans="1:5" ht="12.75">
      <c r="A111" s="124"/>
      <c r="B111" s="124"/>
      <c r="C111" s="124"/>
      <c r="D111" s="124"/>
      <c r="E111" s="124"/>
    </row>
    <row r="112" spans="1:5" ht="12.75">
      <c r="A112" s="124"/>
      <c r="B112" s="124"/>
      <c r="C112" s="124"/>
      <c r="D112" s="124"/>
      <c r="E112" s="124"/>
    </row>
    <row r="113" spans="1:5" ht="12.75">
      <c r="A113" s="124"/>
      <c r="B113" s="124"/>
      <c r="C113" s="124"/>
      <c r="D113" s="124"/>
      <c r="E113" s="124"/>
    </row>
    <row r="114" spans="1:5" ht="12.75">
      <c r="A114" s="124"/>
      <c r="B114" s="124"/>
      <c r="C114" s="124"/>
      <c r="D114" s="124"/>
      <c r="E114" s="124"/>
    </row>
    <row r="115" spans="1:5" ht="12.75">
      <c r="A115" s="124"/>
      <c r="B115" s="124"/>
      <c r="C115" s="124"/>
      <c r="D115" s="124"/>
      <c r="E115" s="124"/>
    </row>
    <row r="116" spans="1:5" ht="12.75">
      <c r="A116" s="121"/>
      <c r="B116" s="121"/>
      <c r="C116" s="121"/>
      <c r="D116" s="121"/>
      <c r="E116" s="121"/>
    </row>
    <row r="117" spans="1:5" ht="12.75">
      <c r="A117" s="121"/>
      <c r="B117" s="121"/>
      <c r="C117" s="121"/>
      <c r="D117" s="121"/>
      <c r="E117" s="121"/>
    </row>
    <row r="118" spans="1:5" ht="12.75">
      <c r="A118" s="121"/>
      <c r="B118" s="121"/>
      <c r="C118" s="121"/>
      <c r="D118" s="121"/>
      <c r="E118" s="121"/>
    </row>
    <row r="119" spans="1:5" ht="12.75">
      <c r="A119" s="121"/>
      <c r="B119" s="121"/>
      <c r="C119" s="121"/>
      <c r="D119" s="121"/>
      <c r="E119" s="121"/>
    </row>
    <row r="120" spans="1:5" ht="12.75">
      <c r="A120" s="121"/>
      <c r="B120" s="121"/>
      <c r="C120" s="121"/>
      <c r="D120" s="121"/>
      <c r="E120" s="121"/>
    </row>
    <row r="121" spans="1:5" ht="12.75">
      <c r="A121" s="121"/>
      <c r="B121" s="121"/>
      <c r="C121" s="121"/>
      <c r="D121" s="121"/>
      <c r="E121" s="121"/>
    </row>
    <row r="122" spans="1:5" ht="12.75">
      <c r="A122" s="121"/>
      <c r="B122" s="121"/>
      <c r="C122" s="121"/>
      <c r="D122" s="121"/>
      <c r="E122" s="121"/>
    </row>
    <row r="123" spans="1:5" ht="12.75">
      <c r="A123" s="121"/>
      <c r="B123" s="121"/>
      <c r="C123" s="121"/>
      <c r="D123" s="121"/>
      <c r="E123" s="121"/>
    </row>
    <row r="124" spans="1:5" ht="12.75">
      <c r="A124" s="121"/>
      <c r="B124" s="121"/>
      <c r="C124" s="121"/>
      <c r="D124" s="121"/>
      <c r="E124" s="121"/>
    </row>
    <row r="125" spans="1:5" ht="12.75">
      <c r="A125" s="121"/>
      <c r="B125" s="121"/>
      <c r="C125" s="121"/>
      <c r="D125" s="121"/>
      <c r="E125" s="121"/>
    </row>
    <row r="126" spans="1:5" ht="12.75">
      <c r="A126" s="121"/>
      <c r="B126" s="121"/>
      <c r="C126" s="121"/>
      <c r="D126" s="121"/>
      <c r="E126" s="121"/>
    </row>
    <row r="127" spans="1:5" ht="12.75">
      <c r="A127" s="121"/>
      <c r="B127" s="121"/>
      <c r="C127" s="121"/>
      <c r="D127" s="121"/>
      <c r="E127" s="121"/>
    </row>
    <row r="128" spans="1:5" ht="12.75">
      <c r="A128" s="121"/>
      <c r="B128" s="121"/>
      <c r="C128" s="121"/>
      <c r="D128" s="121"/>
      <c r="E128" s="121"/>
    </row>
    <row r="129" spans="1:5" ht="12.75">
      <c r="A129" s="121"/>
      <c r="B129" s="121"/>
      <c r="C129" s="121"/>
      <c r="D129" s="121"/>
      <c r="E129" s="121"/>
    </row>
    <row r="130" spans="1:5" ht="12.75">
      <c r="A130" s="121"/>
      <c r="B130" s="121"/>
      <c r="C130" s="121"/>
      <c r="D130" s="121"/>
      <c r="E130" s="121"/>
    </row>
    <row r="131" spans="1:5" ht="12.75">
      <c r="A131" s="121"/>
      <c r="B131" s="121"/>
      <c r="C131" s="121"/>
      <c r="D131" s="121"/>
      <c r="E131" s="121"/>
    </row>
    <row r="132" spans="1:5" ht="12.75">
      <c r="A132" s="121"/>
      <c r="B132" s="121"/>
      <c r="C132" s="121"/>
      <c r="D132" s="121"/>
      <c r="E132" s="121"/>
    </row>
    <row r="133" spans="1:5" ht="12.75">
      <c r="A133" s="121"/>
      <c r="B133" s="121"/>
      <c r="C133" s="121"/>
      <c r="D133" s="121"/>
      <c r="E133" s="121"/>
    </row>
    <row r="134" spans="1:5" ht="12.75">
      <c r="A134" s="121"/>
      <c r="B134" s="121"/>
      <c r="C134" s="121"/>
      <c r="D134" s="121"/>
      <c r="E134" s="121"/>
    </row>
    <row r="135" spans="1:5" ht="12.75">
      <c r="A135" s="121"/>
      <c r="B135" s="121"/>
      <c r="C135" s="121"/>
      <c r="D135" s="121"/>
      <c r="E135" s="121"/>
    </row>
    <row r="136" spans="1:5" ht="12.75">
      <c r="A136" s="121"/>
      <c r="B136" s="121"/>
      <c r="C136" s="121"/>
      <c r="D136" s="121"/>
      <c r="E136" s="121"/>
    </row>
    <row r="137" spans="1:5" ht="12.75">
      <c r="A137" s="121"/>
      <c r="B137" s="121"/>
      <c r="C137" s="121"/>
      <c r="D137" s="121"/>
      <c r="E137" s="121"/>
    </row>
    <row r="138" spans="1:5" ht="12.75">
      <c r="A138" s="121"/>
      <c r="B138" s="121"/>
      <c r="C138" s="121"/>
      <c r="D138" s="121"/>
      <c r="E138" s="121"/>
    </row>
    <row r="139" spans="1:5" ht="12.75">
      <c r="A139" s="121"/>
      <c r="B139" s="121"/>
      <c r="C139" s="121"/>
      <c r="D139" s="121"/>
      <c r="E139" s="121"/>
    </row>
    <row r="140" spans="1:5" ht="12.75">
      <c r="A140" s="121"/>
      <c r="B140" s="121"/>
      <c r="C140" s="121"/>
      <c r="D140" s="121"/>
      <c r="E140" s="121"/>
    </row>
    <row r="141" spans="1:5" ht="12.75">
      <c r="A141" s="121"/>
      <c r="B141" s="121"/>
      <c r="C141" s="121"/>
      <c r="D141" s="121"/>
      <c r="E141" s="121"/>
    </row>
    <row r="142" spans="1:5" ht="12.75">
      <c r="A142" s="121"/>
      <c r="B142" s="121"/>
      <c r="C142" s="121"/>
      <c r="D142" s="121"/>
      <c r="E142" s="121"/>
    </row>
    <row r="143" spans="1:5" ht="12.75">
      <c r="A143" s="121"/>
      <c r="B143" s="121"/>
      <c r="C143" s="121"/>
      <c r="D143" s="121"/>
      <c r="E143" s="121"/>
    </row>
    <row r="144" spans="1:5" ht="12.75">
      <c r="A144" s="121"/>
      <c r="B144" s="121"/>
      <c r="C144" s="121"/>
      <c r="D144" s="121"/>
      <c r="E144" s="121"/>
    </row>
    <row r="145" spans="1:5" ht="12.75">
      <c r="A145" s="121"/>
      <c r="B145" s="121"/>
      <c r="C145" s="121"/>
      <c r="D145" s="121"/>
      <c r="E145" s="121"/>
    </row>
    <row r="146" spans="1:5" ht="12.75">
      <c r="A146" s="121"/>
      <c r="B146" s="121"/>
      <c r="C146" s="121"/>
      <c r="D146" s="121"/>
      <c r="E146" s="121"/>
    </row>
    <row r="147" spans="1:5" ht="12.75">
      <c r="A147" s="121"/>
      <c r="B147" s="121"/>
      <c r="C147" s="121"/>
      <c r="D147" s="121"/>
      <c r="E147" s="121"/>
    </row>
    <row r="148" spans="1:5" ht="12.75">
      <c r="A148" s="121"/>
      <c r="B148" s="121"/>
      <c r="C148" s="121"/>
      <c r="D148" s="121"/>
      <c r="E148" s="121"/>
    </row>
    <row r="149" spans="1:5" ht="12.75">
      <c r="A149" s="121"/>
      <c r="B149" s="121"/>
      <c r="C149" s="121"/>
      <c r="D149" s="121"/>
      <c r="E149" s="121"/>
    </row>
    <row r="150" spans="1:5" ht="12.75">
      <c r="A150" s="121"/>
      <c r="B150" s="121"/>
      <c r="C150" s="121"/>
      <c r="D150" s="121"/>
      <c r="E150" s="121"/>
    </row>
    <row r="151" spans="1:5" ht="12.75">
      <c r="A151" s="121"/>
      <c r="B151" s="121"/>
      <c r="C151" s="121"/>
      <c r="D151" s="121"/>
      <c r="E151" s="121"/>
    </row>
    <row r="152" spans="1:5" ht="12.75">
      <c r="A152" s="121"/>
      <c r="B152" s="121"/>
      <c r="C152" s="121"/>
      <c r="D152" s="121"/>
      <c r="E152" s="121"/>
    </row>
    <row r="153" spans="1:5" ht="12.75">
      <c r="A153" s="121"/>
      <c r="B153" s="121"/>
      <c r="C153" s="121"/>
      <c r="D153" s="121"/>
      <c r="E153" s="121"/>
    </row>
    <row r="154" spans="1:5" ht="12.75">
      <c r="A154" s="121"/>
      <c r="B154" s="121"/>
      <c r="C154" s="121"/>
      <c r="D154" s="121"/>
      <c r="E154" s="121"/>
    </row>
    <row r="155" spans="1:5" ht="12.75">
      <c r="A155" s="121"/>
      <c r="B155" s="121"/>
      <c r="C155" s="121"/>
      <c r="D155" s="121"/>
      <c r="E155" s="121"/>
    </row>
    <row r="156" spans="1:5" ht="12.75">
      <c r="A156" s="121"/>
      <c r="B156" s="121"/>
      <c r="C156" s="121"/>
      <c r="D156" s="121"/>
      <c r="E156" s="121"/>
    </row>
    <row r="157" spans="1:5" ht="12.75">
      <c r="A157" s="121"/>
      <c r="B157" s="121"/>
      <c r="C157" s="121"/>
      <c r="D157" s="121"/>
      <c r="E157" s="121"/>
    </row>
    <row r="158" spans="1:5" ht="12.75">
      <c r="A158" s="121"/>
      <c r="B158" s="121"/>
      <c r="C158" s="121"/>
      <c r="D158" s="121"/>
      <c r="E158" s="121"/>
    </row>
    <row r="159" spans="1:5" ht="12.75">
      <c r="A159" s="121"/>
      <c r="B159" s="121"/>
      <c r="C159" s="121"/>
      <c r="D159" s="121"/>
      <c r="E159" s="121"/>
    </row>
    <row r="160" spans="1:5" ht="12.75">
      <c r="A160" s="121"/>
      <c r="B160" s="121"/>
      <c r="C160" s="121"/>
      <c r="D160" s="121"/>
      <c r="E160" s="121"/>
    </row>
    <row r="161" spans="1:5" ht="12.75">
      <c r="A161" s="121"/>
      <c r="B161" s="121"/>
      <c r="C161" s="121"/>
      <c r="D161" s="121"/>
      <c r="E161" s="121"/>
    </row>
    <row r="162" spans="1:5" ht="12.75">
      <c r="A162" s="121"/>
      <c r="B162" s="121"/>
      <c r="C162" s="121"/>
      <c r="D162" s="121"/>
      <c r="E162" s="121"/>
    </row>
    <row r="163" spans="1:5" ht="12.75">
      <c r="A163" s="121"/>
      <c r="B163" s="121"/>
      <c r="C163" s="121"/>
      <c r="D163" s="121"/>
      <c r="E163" s="121"/>
    </row>
    <row r="164" spans="1:5" ht="12.75">
      <c r="A164" s="121"/>
      <c r="B164" s="121"/>
      <c r="C164" s="121"/>
      <c r="D164" s="121"/>
      <c r="E164" s="121"/>
    </row>
    <row r="165" spans="1:5" ht="12.75">
      <c r="A165" s="121"/>
      <c r="B165" s="121"/>
      <c r="C165" s="121"/>
      <c r="D165" s="121"/>
      <c r="E165" s="121"/>
    </row>
    <row r="166" spans="1:5" ht="12.75">
      <c r="A166" s="121"/>
      <c r="B166" s="121"/>
      <c r="C166" s="121"/>
      <c r="D166" s="121"/>
      <c r="E166" s="121"/>
    </row>
    <row r="167" spans="1:5" ht="12.75">
      <c r="A167" s="121"/>
      <c r="B167" s="121"/>
      <c r="C167" s="121"/>
      <c r="D167" s="121"/>
      <c r="E167" s="121"/>
    </row>
    <row r="168" spans="1:5" ht="12.75">
      <c r="A168" s="121"/>
      <c r="B168" s="121"/>
      <c r="C168" s="121"/>
      <c r="D168" s="121"/>
      <c r="E168" s="121"/>
    </row>
    <row r="169" spans="1:5" ht="12.75">
      <c r="A169" s="121"/>
      <c r="B169" s="121"/>
      <c r="C169" s="121"/>
      <c r="D169" s="121"/>
      <c r="E169" s="121"/>
    </row>
    <row r="170" spans="1:5" ht="12.75">
      <c r="A170" s="121"/>
      <c r="B170" s="121"/>
      <c r="C170" s="121"/>
      <c r="D170" s="121"/>
      <c r="E170" s="121"/>
    </row>
    <row r="171" spans="1:5" ht="12.75">
      <c r="A171" s="121"/>
      <c r="B171" s="121"/>
      <c r="C171" s="121"/>
      <c r="D171" s="121"/>
      <c r="E171" s="121"/>
    </row>
    <row r="177" spans="1:5" ht="12.75">
      <c r="A177" s="125"/>
      <c r="B177" s="125"/>
      <c r="C177" s="125"/>
      <c r="D177" s="125"/>
      <c r="E177" s="125"/>
    </row>
    <row r="178" spans="1:5" ht="12.75">
      <c r="A178" s="125"/>
      <c r="B178" s="125"/>
      <c r="C178" s="125"/>
      <c r="D178" s="125"/>
      <c r="E178" s="125"/>
    </row>
    <row r="179" spans="1:5" ht="12.75">
      <c r="A179" s="126"/>
      <c r="B179" s="126"/>
      <c r="C179" s="126"/>
      <c r="D179" s="126"/>
      <c r="E179" s="126"/>
    </row>
    <row r="180" spans="1:5" ht="12.75">
      <c r="A180" s="128"/>
      <c r="B180" s="128"/>
      <c r="C180" s="128"/>
      <c r="D180" s="128"/>
      <c r="E180" s="128"/>
    </row>
    <row r="181" spans="1:5" ht="12.75">
      <c r="A181" s="125"/>
      <c r="B181" s="125"/>
      <c r="C181" s="125"/>
      <c r="D181" s="125"/>
      <c r="E181" s="125"/>
    </row>
    <row r="182" spans="1:5" ht="12.75">
      <c r="A182" s="126"/>
      <c r="B182" s="126"/>
      <c r="C182" s="126"/>
      <c r="D182" s="126"/>
      <c r="E182" s="126"/>
    </row>
    <row r="183" spans="1:5" ht="12.75">
      <c r="A183" s="128"/>
      <c r="B183" s="128"/>
      <c r="C183" s="128"/>
      <c r="D183" s="128"/>
      <c r="E183" s="128"/>
    </row>
    <row r="184" spans="1:5" ht="12.75">
      <c r="A184" s="125"/>
      <c r="B184" s="125"/>
      <c r="C184" s="125"/>
      <c r="D184" s="125"/>
      <c r="E184" s="125"/>
    </row>
    <row r="185" spans="1:5" ht="12.75">
      <c r="A185" s="126"/>
      <c r="B185" s="126"/>
      <c r="C185" s="126"/>
      <c r="D185" s="126"/>
      <c r="E185" s="126"/>
    </row>
    <row r="186" spans="1:5" ht="12.75">
      <c r="A186" s="129"/>
      <c r="B186" s="125"/>
      <c r="C186" s="125"/>
      <c r="D186" s="125"/>
      <c r="E186" s="125"/>
    </row>
    <row r="187" spans="1:5" ht="12.75">
      <c r="A187" s="125"/>
      <c r="B187" s="125"/>
      <c r="C187" s="125"/>
      <c r="D187" s="125"/>
      <c r="E187" s="125"/>
    </row>
    <row r="188" spans="1:5" ht="12.75">
      <c r="A188" s="126"/>
      <c r="B188" s="126"/>
      <c r="C188" s="126"/>
      <c r="D188" s="126"/>
      <c r="E188" s="126"/>
    </row>
    <row r="189" spans="1:5" ht="12.75">
      <c r="A189" s="125"/>
      <c r="B189" s="125"/>
      <c r="C189" s="125"/>
      <c r="D189" s="125"/>
      <c r="E189" s="125"/>
    </row>
    <row r="190" spans="1:5" ht="12.75">
      <c r="A190" s="125"/>
      <c r="B190" s="125"/>
      <c r="C190" s="125"/>
      <c r="D190" s="125"/>
      <c r="E190" s="125"/>
    </row>
    <row r="191" spans="1:5" ht="12.75">
      <c r="A191" s="126"/>
      <c r="B191" s="126"/>
      <c r="C191" s="126"/>
      <c r="D191" s="126"/>
      <c r="E191" s="126"/>
    </row>
    <row r="192" spans="1:5" ht="12.75">
      <c r="A192" s="125"/>
      <c r="B192" s="125"/>
      <c r="C192" s="125"/>
      <c r="D192" s="125"/>
      <c r="E192" s="125"/>
    </row>
    <row r="193" spans="1:5" ht="12.75">
      <c r="A193" s="125"/>
      <c r="B193" s="125"/>
      <c r="C193" s="125"/>
      <c r="D193" s="125"/>
      <c r="E193" s="125"/>
    </row>
    <row r="194" spans="1:5" ht="12.75">
      <c r="A194" s="126"/>
      <c r="B194" s="126"/>
      <c r="C194" s="126"/>
      <c r="D194" s="126"/>
      <c r="E194" s="126"/>
    </row>
    <row r="195" spans="1:5" ht="12.75">
      <c r="A195" s="125"/>
      <c r="B195" s="125"/>
      <c r="C195" s="125"/>
      <c r="D195" s="125"/>
      <c r="E195" s="125"/>
    </row>
    <row r="196" spans="1:5" ht="12.75">
      <c r="A196" s="125"/>
      <c r="B196" s="125"/>
      <c r="C196" s="125"/>
      <c r="D196" s="125"/>
      <c r="E196" s="125"/>
    </row>
    <row r="197" spans="1:5" ht="12.75">
      <c r="A197" s="126"/>
      <c r="B197" s="126"/>
      <c r="C197" s="126"/>
      <c r="D197" s="126"/>
      <c r="E197" s="126"/>
    </row>
    <row r="198" spans="1:5" ht="12.75">
      <c r="A198" s="125"/>
      <c r="B198" s="125"/>
      <c r="C198" s="125"/>
      <c r="D198" s="125"/>
      <c r="E198" s="125"/>
    </row>
    <row r="199" spans="1:5" ht="12.75">
      <c r="A199" s="125"/>
      <c r="B199" s="125"/>
      <c r="C199" s="125"/>
      <c r="D199" s="125"/>
      <c r="E199" s="125"/>
    </row>
    <row r="200" spans="1:5" ht="12.75">
      <c r="A200" s="126"/>
      <c r="B200" s="126"/>
      <c r="C200" s="126"/>
      <c r="D200" s="126"/>
      <c r="E200" s="126"/>
    </row>
    <row r="201" spans="1:5" ht="12.75">
      <c r="A201" s="125"/>
      <c r="B201" s="125"/>
      <c r="C201" s="125"/>
      <c r="D201" s="125"/>
      <c r="E201" s="125"/>
    </row>
    <row r="202" spans="1:5" ht="12.75">
      <c r="A202" s="125"/>
      <c r="B202" s="125"/>
      <c r="C202" s="125"/>
      <c r="D202" s="125"/>
      <c r="E202" s="125"/>
    </row>
    <row r="203" spans="1:5" ht="12.75">
      <c r="A203" s="126"/>
      <c r="B203" s="126"/>
      <c r="C203" s="126"/>
      <c r="D203" s="126"/>
      <c r="E203" s="126"/>
    </row>
    <row r="204" spans="1:5" ht="12.75">
      <c r="A204" s="125"/>
      <c r="B204" s="125"/>
      <c r="C204" s="125"/>
      <c r="D204" s="125"/>
      <c r="E204" s="125"/>
    </row>
    <row r="205" spans="1:5" ht="12.75">
      <c r="A205" s="125"/>
      <c r="B205" s="125"/>
      <c r="C205" s="125"/>
      <c r="D205" s="125"/>
      <c r="E205" s="125"/>
    </row>
    <row r="206" spans="1:5" ht="12.75">
      <c r="A206" s="126"/>
      <c r="B206" s="126"/>
      <c r="C206" s="126"/>
      <c r="D206" s="126"/>
      <c r="E206" s="126"/>
    </row>
    <row r="207" spans="1:5" ht="12.75">
      <c r="A207" s="125"/>
      <c r="B207" s="125"/>
      <c r="C207" s="125"/>
      <c r="D207" s="125"/>
      <c r="E207" s="125"/>
    </row>
    <row r="208" spans="1:5" ht="12.75">
      <c r="A208" s="125"/>
      <c r="B208" s="125"/>
      <c r="C208" s="125"/>
      <c r="D208" s="125"/>
      <c r="E208" s="125"/>
    </row>
    <row r="209" spans="1:5" ht="12.75">
      <c r="A209" s="126"/>
      <c r="B209" s="126"/>
      <c r="C209" s="126"/>
      <c r="D209" s="126"/>
      <c r="E209" s="126"/>
    </row>
    <row r="210" spans="1:5" ht="12.75">
      <c r="A210" s="125"/>
      <c r="B210" s="125"/>
      <c r="C210" s="125"/>
      <c r="D210" s="125"/>
      <c r="E210" s="125"/>
    </row>
    <row r="211" spans="1:5" ht="12.75">
      <c r="A211" s="125"/>
      <c r="B211" s="125"/>
      <c r="C211" s="125"/>
      <c r="D211" s="125"/>
      <c r="E211" s="125"/>
    </row>
    <row r="212" spans="1:5" ht="12.75">
      <c r="A212" s="126"/>
      <c r="B212" s="126"/>
      <c r="C212" s="126"/>
      <c r="D212" s="126"/>
      <c r="E212" s="126"/>
    </row>
    <row r="213" spans="1:5" ht="12.75">
      <c r="A213" s="125"/>
      <c r="B213" s="125"/>
      <c r="C213" s="125"/>
      <c r="D213" s="125"/>
      <c r="E213" s="125"/>
    </row>
    <row r="214" spans="1:5" ht="12.75">
      <c r="A214" s="125"/>
      <c r="B214" s="125"/>
      <c r="C214" s="125"/>
      <c r="D214" s="125"/>
      <c r="E214" s="125"/>
    </row>
    <row r="215" spans="1:5" ht="12.75">
      <c r="A215" s="126"/>
      <c r="B215" s="126"/>
      <c r="C215" s="126"/>
      <c r="D215" s="126"/>
      <c r="E215" s="126"/>
    </row>
    <row r="216" spans="1:5" ht="12.75">
      <c r="A216" s="125"/>
      <c r="B216" s="125"/>
      <c r="C216" s="125"/>
      <c r="D216" s="125"/>
      <c r="E216" s="125"/>
    </row>
    <row r="217" spans="1:5" ht="12.75">
      <c r="A217" s="125"/>
      <c r="B217" s="125"/>
      <c r="C217" s="125"/>
      <c r="D217" s="125"/>
      <c r="E217" s="125"/>
    </row>
    <row r="218" spans="1:5" ht="12.75">
      <c r="A218" s="126"/>
      <c r="B218" s="126"/>
      <c r="C218" s="126"/>
      <c r="D218" s="126"/>
      <c r="E218" s="126"/>
    </row>
    <row r="219" spans="1:5" ht="12.75">
      <c r="A219" s="125"/>
      <c r="B219" s="125"/>
      <c r="C219" s="125"/>
      <c r="D219" s="125"/>
      <c r="E219" s="125"/>
    </row>
    <row r="220" spans="1:5" ht="12.75">
      <c r="A220" s="125"/>
      <c r="B220" s="125"/>
      <c r="C220" s="125"/>
      <c r="D220" s="125"/>
      <c r="E220" s="125"/>
    </row>
    <row r="221" spans="1:5" ht="12.75">
      <c r="A221" s="126"/>
      <c r="B221" s="126"/>
      <c r="C221" s="126"/>
      <c r="D221" s="126"/>
      <c r="E221" s="126"/>
    </row>
    <row r="222" spans="1:5" ht="12.75">
      <c r="A222" s="125"/>
      <c r="B222" s="125"/>
      <c r="C222" s="125"/>
      <c r="D222" s="125"/>
      <c r="E222" s="125"/>
    </row>
    <row r="223" spans="1:5" ht="12.75">
      <c r="A223" s="125"/>
      <c r="B223" s="125"/>
      <c r="C223" s="125"/>
      <c r="D223" s="125"/>
      <c r="E223" s="125"/>
    </row>
    <row r="224" spans="1:5" ht="12.75">
      <c r="A224" s="126"/>
      <c r="B224" s="126"/>
      <c r="C224" s="126"/>
      <c r="D224" s="126"/>
      <c r="E224" s="126"/>
    </row>
    <row r="225" spans="1:5" ht="12.75">
      <c r="A225" s="125"/>
      <c r="B225" s="125"/>
      <c r="C225" s="125"/>
      <c r="D225" s="125"/>
      <c r="E225" s="125"/>
    </row>
    <row r="226" spans="1:5" ht="12.75">
      <c r="A226" s="125"/>
      <c r="B226" s="125"/>
      <c r="C226" s="125"/>
      <c r="D226" s="125"/>
      <c r="E226" s="125"/>
    </row>
    <row r="227" spans="1:5" ht="12.75">
      <c r="A227" s="126"/>
      <c r="B227" s="126"/>
      <c r="C227" s="126"/>
      <c r="D227" s="126"/>
      <c r="E227" s="126"/>
    </row>
    <row r="228" spans="1:5" ht="12.75">
      <c r="A228" s="125"/>
      <c r="B228" s="125"/>
      <c r="C228" s="125"/>
      <c r="D228" s="125"/>
      <c r="E228" s="125"/>
    </row>
    <row r="229" spans="1:5" ht="12.75">
      <c r="A229" s="125"/>
      <c r="B229" s="125"/>
      <c r="C229" s="125"/>
      <c r="D229" s="125"/>
      <c r="E229" s="125"/>
    </row>
    <row r="230" spans="1:5" ht="12.75">
      <c r="A230" s="126"/>
      <c r="B230" s="126"/>
      <c r="C230" s="126"/>
      <c r="D230" s="126"/>
      <c r="E230" s="126"/>
    </row>
    <row r="231" spans="1:5" ht="12.75">
      <c r="A231" s="125"/>
      <c r="B231" s="125"/>
      <c r="C231" s="125"/>
      <c r="D231" s="125"/>
      <c r="E231" s="125"/>
    </row>
    <row r="232" spans="1:5" ht="12.75">
      <c r="A232" s="125"/>
      <c r="B232" s="125"/>
      <c r="C232" s="125"/>
      <c r="D232" s="125"/>
      <c r="E232" s="125"/>
    </row>
    <row r="233" spans="1:5" ht="12.75">
      <c r="A233" s="126"/>
      <c r="B233" s="126"/>
      <c r="C233" s="126"/>
      <c r="D233" s="126"/>
      <c r="E233" s="126"/>
    </row>
    <row r="234" spans="1:5" ht="12.75">
      <c r="A234" s="125"/>
      <c r="B234" s="125"/>
      <c r="C234" s="125"/>
      <c r="D234" s="125"/>
      <c r="E234" s="125"/>
    </row>
    <row r="235" spans="1:5" ht="12.75">
      <c r="A235" s="125"/>
      <c r="B235" s="125"/>
      <c r="C235" s="125"/>
      <c r="D235" s="125"/>
      <c r="E235" s="125"/>
    </row>
    <row r="236" spans="1:5" ht="12.75">
      <c r="A236" s="126"/>
      <c r="B236" s="126"/>
      <c r="C236" s="126"/>
      <c r="D236" s="126"/>
      <c r="E236" s="126"/>
    </row>
    <row r="237" spans="1:5" ht="12.75">
      <c r="A237" s="125"/>
      <c r="B237" s="125"/>
      <c r="C237" s="125"/>
      <c r="D237" s="125"/>
      <c r="E237" s="125"/>
    </row>
    <row r="238" spans="1:5" ht="12.75">
      <c r="A238" s="125"/>
      <c r="B238" s="125"/>
      <c r="C238" s="125"/>
      <c r="D238" s="125"/>
      <c r="E238" s="125"/>
    </row>
    <row r="239" spans="1:5" ht="12.75">
      <c r="A239" s="126"/>
      <c r="B239" s="126"/>
      <c r="C239" s="126"/>
      <c r="D239" s="126"/>
      <c r="E239" s="126"/>
    </row>
    <row r="240" spans="1:5" ht="12.75">
      <c r="A240" s="125"/>
      <c r="B240" s="125"/>
      <c r="C240" s="125"/>
      <c r="D240" s="125"/>
      <c r="E240" s="125"/>
    </row>
    <row r="241" spans="1:5" ht="12.75">
      <c r="A241" s="125"/>
      <c r="B241" s="125"/>
      <c r="C241" s="125"/>
      <c r="D241" s="125"/>
      <c r="E241" s="125"/>
    </row>
    <row r="242" spans="1:5" ht="12.75">
      <c r="A242" s="126"/>
      <c r="B242" s="126"/>
      <c r="C242" s="126"/>
      <c r="D242" s="126"/>
      <c r="E242" s="126"/>
    </row>
    <row r="243" spans="1:5" ht="12.75">
      <c r="A243" s="125"/>
      <c r="B243" s="125"/>
      <c r="C243" s="125"/>
      <c r="D243" s="125"/>
      <c r="E243" s="125"/>
    </row>
    <row r="244" spans="1:5" ht="12.75">
      <c r="A244" s="125"/>
      <c r="B244" s="125"/>
      <c r="C244" s="125"/>
      <c r="D244" s="125"/>
      <c r="E244" s="125"/>
    </row>
    <row r="245" spans="1:5" ht="12.75">
      <c r="A245" s="126"/>
      <c r="B245" s="126"/>
      <c r="C245" s="126"/>
      <c r="D245" s="126"/>
      <c r="E245" s="126"/>
    </row>
    <row r="246" spans="1:5" ht="12.75">
      <c r="A246" s="125"/>
      <c r="B246" s="125"/>
      <c r="C246" s="125"/>
      <c r="D246" s="125"/>
      <c r="E246" s="125"/>
    </row>
    <row r="247" spans="1:5" ht="12.75">
      <c r="A247" s="125"/>
      <c r="B247" s="125"/>
      <c r="C247" s="125"/>
      <c r="D247" s="125"/>
      <c r="E247" s="125"/>
    </row>
    <row r="248" spans="1:5" ht="12.75">
      <c r="A248" s="126"/>
      <c r="B248" s="126"/>
      <c r="C248" s="126"/>
      <c r="D248" s="126"/>
      <c r="E248" s="126"/>
    </row>
    <row r="249" spans="1:5" ht="12.75">
      <c r="A249" s="125"/>
      <c r="B249" s="125"/>
      <c r="C249" s="125"/>
      <c r="D249" s="125"/>
      <c r="E249" s="125"/>
    </row>
    <row r="250" spans="1:5" ht="12.75">
      <c r="A250" s="125"/>
      <c r="B250" s="125"/>
      <c r="C250" s="125"/>
      <c r="D250" s="125"/>
      <c r="E250" s="125"/>
    </row>
    <row r="251" spans="1:5" ht="12.75">
      <c r="A251" s="126"/>
      <c r="B251" s="126"/>
      <c r="C251" s="126"/>
      <c r="D251" s="126"/>
      <c r="E251" s="126"/>
    </row>
    <row r="252" spans="1:5" ht="12.75">
      <c r="A252" s="125"/>
      <c r="B252" s="125"/>
      <c r="C252" s="125"/>
      <c r="D252" s="125"/>
      <c r="E252" s="125"/>
    </row>
    <row r="253" spans="1:5" ht="12.75">
      <c r="A253" s="125"/>
      <c r="B253" s="125"/>
      <c r="C253" s="125"/>
      <c r="D253" s="125"/>
      <c r="E253" s="125"/>
    </row>
    <row r="254" spans="1:5" ht="12.75">
      <c r="A254" s="126"/>
      <c r="B254" s="126"/>
      <c r="C254" s="126"/>
      <c r="D254" s="126"/>
      <c r="E254" s="126"/>
    </row>
    <row r="255" spans="1:5" ht="12.75">
      <c r="A255" s="125"/>
      <c r="B255" s="125"/>
      <c r="C255" s="125"/>
      <c r="D255" s="125"/>
      <c r="E255" s="125"/>
    </row>
    <row r="256" spans="1:5" ht="12.75">
      <c r="A256" s="125"/>
      <c r="B256" s="125"/>
      <c r="C256" s="125"/>
      <c r="D256" s="125"/>
      <c r="E256" s="125"/>
    </row>
    <row r="257" spans="1:5" ht="12.75">
      <c r="A257" s="126"/>
      <c r="B257" s="126"/>
      <c r="C257" s="126"/>
      <c r="D257" s="126"/>
      <c r="E257" s="126"/>
    </row>
    <row r="258" spans="1:5" ht="12.75">
      <c r="A258" s="125"/>
      <c r="B258" s="125"/>
      <c r="C258" s="125"/>
      <c r="D258" s="125"/>
      <c r="E258" s="125"/>
    </row>
    <row r="259" spans="1:5" ht="12.75">
      <c r="A259" s="125"/>
      <c r="B259" s="125"/>
      <c r="C259" s="125"/>
      <c r="D259" s="125"/>
      <c r="E259" s="125"/>
    </row>
    <row r="260" spans="1:5" ht="12.75">
      <c r="A260" s="126"/>
      <c r="B260" s="126"/>
      <c r="C260" s="126"/>
      <c r="D260" s="126"/>
      <c r="E260" s="126"/>
    </row>
    <row r="261" spans="1:5" ht="12.75">
      <c r="A261" s="125"/>
      <c r="B261" s="125"/>
      <c r="C261" s="125"/>
      <c r="D261" s="125"/>
      <c r="E261" s="125"/>
    </row>
    <row r="262" spans="1:5" ht="12.75">
      <c r="A262" s="125"/>
      <c r="B262" s="125"/>
      <c r="C262" s="125"/>
      <c r="D262" s="125"/>
      <c r="E262" s="125"/>
    </row>
    <row r="263" spans="1:5" ht="12.75">
      <c r="A263" s="126"/>
      <c r="B263" s="126"/>
      <c r="C263" s="126"/>
      <c r="D263" s="126"/>
      <c r="E263" s="126"/>
    </row>
    <row r="264" spans="1:5" ht="12.75">
      <c r="A264" s="125"/>
      <c r="B264" s="125"/>
      <c r="C264" s="125"/>
      <c r="D264" s="125"/>
      <c r="E264" s="125"/>
    </row>
    <row r="265" spans="1:5" ht="12.75">
      <c r="A265" s="125"/>
      <c r="B265" s="125"/>
      <c r="C265" s="125"/>
      <c r="D265" s="125"/>
      <c r="E265" s="125"/>
    </row>
    <row r="266" spans="1:5" ht="12.75">
      <c r="A266" s="126"/>
      <c r="B266" s="126"/>
      <c r="C266" s="126"/>
      <c r="D266" s="126"/>
      <c r="E266" s="126"/>
    </row>
    <row r="267" spans="1:5" ht="12.75">
      <c r="A267" s="125"/>
      <c r="B267" s="125"/>
      <c r="C267" s="125"/>
      <c r="D267" s="125"/>
      <c r="E267" s="125"/>
    </row>
    <row r="268" spans="1:5" ht="12.75">
      <c r="A268" s="125"/>
      <c r="B268" s="125"/>
      <c r="C268" s="125"/>
      <c r="D268" s="125"/>
      <c r="E268" s="125"/>
    </row>
    <row r="269" spans="1:5" ht="12.75">
      <c r="A269" s="126"/>
      <c r="B269" s="126"/>
      <c r="C269" s="126"/>
      <c r="D269" s="126"/>
      <c r="E269" s="126"/>
    </row>
    <row r="270" spans="1:5" ht="12.75">
      <c r="A270" s="125"/>
      <c r="B270" s="125"/>
      <c r="C270" s="125"/>
      <c r="D270" s="125"/>
      <c r="E270" s="125"/>
    </row>
    <row r="271" spans="1:5" ht="12.75">
      <c r="A271" s="125"/>
      <c r="B271" s="125"/>
      <c r="C271" s="125"/>
      <c r="D271" s="125"/>
      <c r="E271" s="125"/>
    </row>
    <row r="272" spans="1:5" ht="12.75">
      <c r="A272" s="126"/>
      <c r="B272" s="126"/>
      <c r="C272" s="126"/>
      <c r="D272" s="126"/>
      <c r="E272" s="126"/>
    </row>
    <row r="273" spans="1:5" ht="12.75">
      <c r="A273" s="125"/>
      <c r="B273" s="125"/>
      <c r="C273" s="125"/>
      <c r="D273" s="125"/>
      <c r="E273" s="125"/>
    </row>
    <row r="274" spans="1:5" ht="12.75">
      <c r="A274" s="125"/>
      <c r="B274" s="125"/>
      <c r="C274" s="125"/>
      <c r="D274" s="125"/>
      <c r="E274" s="125"/>
    </row>
    <row r="275" spans="1:5" ht="12.75">
      <c r="A275" s="126"/>
      <c r="B275" s="126"/>
      <c r="C275" s="126"/>
      <c r="D275" s="126"/>
      <c r="E275" s="126"/>
    </row>
    <row r="276" spans="1:5" ht="12.75">
      <c r="A276" s="125"/>
      <c r="B276" s="125"/>
      <c r="C276" s="125"/>
      <c r="D276" s="125"/>
      <c r="E276" s="125"/>
    </row>
    <row r="277" spans="1:5" ht="12.75">
      <c r="A277" s="125"/>
      <c r="B277" s="125"/>
      <c r="C277" s="125"/>
      <c r="D277" s="125"/>
      <c r="E277" s="125"/>
    </row>
    <row r="278" spans="1:5" ht="12.75">
      <c r="A278" s="126"/>
      <c r="B278" s="126"/>
      <c r="C278" s="126"/>
      <c r="D278" s="126"/>
      <c r="E278" s="126"/>
    </row>
    <row r="279" spans="1:5" ht="12.75">
      <c r="A279" s="125"/>
      <c r="B279" s="125"/>
      <c r="C279" s="125"/>
      <c r="D279" s="125"/>
      <c r="E279" s="125"/>
    </row>
    <row r="280" spans="1:5" ht="12.75">
      <c r="A280" s="125"/>
      <c r="B280" s="125"/>
      <c r="C280" s="125"/>
      <c r="D280" s="125"/>
      <c r="E280" s="125"/>
    </row>
    <row r="281" spans="1:5" ht="12.75">
      <c r="A281" s="126"/>
      <c r="B281" s="126"/>
      <c r="C281" s="126"/>
      <c r="D281" s="126"/>
      <c r="E281" s="126"/>
    </row>
    <row r="282" spans="1:5" ht="12.75">
      <c r="A282" s="125"/>
      <c r="B282" s="125"/>
      <c r="C282" s="125"/>
      <c r="D282" s="125"/>
      <c r="E282" s="125"/>
    </row>
    <row r="283" spans="1:5" ht="12.75">
      <c r="A283" s="125"/>
      <c r="B283" s="125"/>
      <c r="C283" s="125"/>
      <c r="D283" s="125"/>
      <c r="E283" s="125"/>
    </row>
    <row r="284" spans="1:5" ht="12.75">
      <c r="A284" s="126"/>
      <c r="B284" s="126"/>
      <c r="C284" s="126"/>
      <c r="D284" s="126"/>
      <c r="E284" s="126"/>
    </row>
    <row r="285" spans="1:5" ht="12.75">
      <c r="A285" s="125"/>
      <c r="B285" s="125"/>
      <c r="C285" s="125"/>
      <c r="D285" s="125"/>
      <c r="E285" s="125"/>
    </row>
    <row r="286" spans="1:5" ht="12.75">
      <c r="A286" s="125"/>
      <c r="B286" s="125"/>
      <c r="C286" s="125"/>
      <c r="D286" s="125"/>
      <c r="E286" s="125"/>
    </row>
    <row r="287" spans="1:5" ht="12.75">
      <c r="A287" s="126"/>
      <c r="B287" s="126"/>
      <c r="C287" s="126"/>
      <c r="D287" s="126"/>
      <c r="E287" s="126"/>
    </row>
    <row r="288" spans="1:5" ht="12.75">
      <c r="A288" s="125"/>
      <c r="B288" s="125"/>
      <c r="C288" s="125"/>
      <c r="D288" s="125"/>
      <c r="E288" s="125"/>
    </row>
    <row r="289" spans="1:5" ht="12.75">
      <c r="A289" s="125"/>
      <c r="B289" s="125"/>
      <c r="C289" s="125"/>
      <c r="D289" s="125"/>
      <c r="E289" s="125"/>
    </row>
    <row r="290" spans="1:5" ht="12.75">
      <c r="A290" s="126"/>
      <c r="B290" s="126"/>
      <c r="C290" s="126"/>
      <c r="D290" s="126"/>
      <c r="E290" s="126"/>
    </row>
    <row r="291" spans="1:5" ht="12.75">
      <c r="A291" s="125"/>
      <c r="B291" s="125"/>
      <c r="C291" s="125"/>
      <c r="D291" s="125"/>
      <c r="E291" s="125"/>
    </row>
    <row r="292" spans="1:5" ht="12.75">
      <c r="A292" s="125"/>
      <c r="B292" s="125"/>
      <c r="C292" s="125"/>
      <c r="D292" s="125"/>
      <c r="E292" s="125"/>
    </row>
    <row r="293" spans="1:5" ht="12.75">
      <c r="A293" s="126"/>
      <c r="B293" s="126"/>
      <c r="C293" s="126"/>
      <c r="D293" s="126"/>
      <c r="E293" s="126"/>
    </row>
    <row r="294" spans="1:5" ht="12.75">
      <c r="A294" s="125"/>
      <c r="B294" s="125"/>
      <c r="C294" s="125"/>
      <c r="D294" s="125"/>
      <c r="E294" s="125"/>
    </row>
    <row r="295" spans="1:5" ht="12.75">
      <c r="A295" s="125"/>
      <c r="B295" s="125"/>
      <c r="C295" s="125"/>
      <c r="D295" s="125"/>
      <c r="E295" s="125"/>
    </row>
    <row r="296" spans="1:5" ht="12.75">
      <c r="A296" s="126"/>
      <c r="B296" s="126"/>
      <c r="C296" s="126"/>
      <c r="D296" s="126"/>
      <c r="E296" s="126"/>
    </row>
    <row r="297" spans="1:5" ht="12.75">
      <c r="A297" s="125"/>
      <c r="B297" s="125"/>
      <c r="C297" s="125"/>
      <c r="D297" s="125"/>
      <c r="E297" s="125"/>
    </row>
    <row r="298" spans="1:5" ht="12.75">
      <c r="A298" s="125"/>
      <c r="B298" s="125"/>
      <c r="C298" s="125"/>
      <c r="D298" s="125"/>
      <c r="E298" s="125"/>
    </row>
    <row r="299" spans="1:5" ht="12.75">
      <c r="A299" s="126"/>
      <c r="B299" s="126"/>
      <c r="C299" s="126"/>
      <c r="D299" s="126"/>
      <c r="E299" s="126"/>
    </row>
    <row r="300" spans="1:5" ht="12.75">
      <c r="A300" s="134"/>
      <c r="B300" s="135"/>
      <c r="C300" s="135"/>
      <c r="D300" s="135"/>
      <c r="E300" s="136"/>
    </row>
    <row r="301" spans="1:5" ht="12.75">
      <c r="A301" s="137"/>
      <c r="B301" s="138"/>
      <c r="C301" s="138"/>
      <c r="D301" s="138"/>
      <c r="E301" s="139"/>
    </row>
    <row r="302" spans="1:5" ht="12.75">
      <c r="A302" s="140"/>
      <c r="B302" s="141"/>
      <c r="C302" s="141"/>
      <c r="D302" s="141"/>
      <c r="E302" s="142"/>
    </row>
    <row r="303" spans="1:5" ht="12.75">
      <c r="A303" s="131"/>
      <c r="B303" s="131"/>
      <c r="C303" s="131"/>
      <c r="D303" s="131"/>
      <c r="E303" s="131"/>
    </row>
    <row r="304" spans="1:5" ht="12.75">
      <c r="A304" s="131"/>
      <c r="B304" s="131"/>
      <c r="C304" s="131"/>
      <c r="D304" s="131"/>
      <c r="E304" s="131"/>
    </row>
    <row r="305" spans="1:5" ht="12.75">
      <c r="A305" s="131"/>
      <c r="B305" s="131"/>
      <c r="C305" s="131"/>
      <c r="D305" s="131"/>
      <c r="E305" s="131"/>
    </row>
    <row r="306" spans="1:5" ht="12.75">
      <c r="A306" s="132"/>
      <c r="B306" s="133"/>
      <c r="C306" s="133"/>
      <c r="D306" s="133"/>
      <c r="E306" s="133"/>
    </row>
    <row r="307" spans="1:5" ht="12.75">
      <c r="A307" s="133"/>
      <c r="B307" s="133"/>
      <c r="C307" s="133"/>
      <c r="D307" s="133"/>
      <c r="E307" s="133"/>
    </row>
    <row r="308" spans="1:5" ht="12.75">
      <c r="A308" s="133"/>
      <c r="B308" s="133"/>
      <c r="C308" s="133"/>
      <c r="D308" s="133"/>
      <c r="E308" s="133"/>
    </row>
    <row r="309" spans="1:5" ht="12.75">
      <c r="A309" s="131"/>
      <c r="B309" s="131"/>
      <c r="C309" s="131"/>
      <c r="D309" s="131"/>
      <c r="E309" s="131"/>
    </row>
    <row r="310" spans="1:5" ht="12.75">
      <c r="A310" s="131"/>
      <c r="B310" s="131"/>
      <c r="C310" s="131"/>
      <c r="D310" s="131"/>
      <c r="E310" s="131"/>
    </row>
    <row r="311" spans="1:5" ht="12.75">
      <c r="A311" s="131"/>
      <c r="B311" s="131"/>
      <c r="C311" s="131"/>
      <c r="D311" s="131"/>
      <c r="E311" s="131"/>
    </row>
    <row r="312" spans="1:5" ht="12.75">
      <c r="A312" s="130"/>
      <c r="B312" s="130"/>
      <c r="C312" s="130"/>
      <c r="D312" s="130"/>
      <c r="E312" s="130"/>
    </row>
    <row r="313" spans="1:5" ht="12.75">
      <c r="A313" s="130"/>
      <c r="B313" s="130"/>
      <c r="C313" s="130"/>
      <c r="D313" s="130"/>
      <c r="E313" s="130"/>
    </row>
    <row r="314" spans="1:5" ht="12.75">
      <c r="A314" s="130"/>
      <c r="B314" s="130"/>
      <c r="C314" s="130"/>
      <c r="D314" s="130"/>
      <c r="E314" s="130"/>
    </row>
    <row r="315" spans="1:5" ht="12.75">
      <c r="A315" s="131"/>
      <c r="B315" s="131"/>
      <c r="C315" s="131"/>
      <c r="D315" s="131"/>
      <c r="E315" s="131"/>
    </row>
    <row r="316" spans="1:5" ht="12.75">
      <c r="A316" s="131"/>
      <c r="B316" s="131"/>
      <c r="C316" s="131"/>
      <c r="D316" s="131"/>
      <c r="E316" s="131"/>
    </row>
    <row r="317" spans="1:5" ht="12.75">
      <c r="A317" s="131"/>
      <c r="B317" s="131"/>
      <c r="C317" s="131"/>
      <c r="D317" s="131"/>
      <c r="E317" s="131"/>
    </row>
    <row r="318" spans="1:5" ht="12.75">
      <c r="A318" s="130"/>
      <c r="B318" s="130"/>
      <c r="C318" s="130"/>
      <c r="D318" s="130"/>
      <c r="E318" s="130"/>
    </row>
    <row r="319" spans="1:5" ht="12.75">
      <c r="A319" s="130"/>
      <c r="B319" s="130"/>
      <c r="C319" s="130"/>
      <c r="D319" s="130"/>
      <c r="E319" s="130"/>
    </row>
    <row r="320" spans="1:5" ht="12.75">
      <c r="A320" s="130"/>
      <c r="B320" s="130"/>
      <c r="C320" s="130"/>
      <c r="D320" s="130"/>
      <c r="E320" s="130"/>
    </row>
    <row r="321" spans="1:5" ht="12.75">
      <c r="A321" s="131"/>
      <c r="B321" s="131"/>
      <c r="C321" s="131"/>
      <c r="D321" s="131"/>
      <c r="E321" s="131"/>
    </row>
    <row r="322" spans="1:5" ht="12.75">
      <c r="A322" s="131"/>
      <c r="B322" s="131"/>
      <c r="C322" s="131"/>
      <c r="D322" s="131"/>
      <c r="E322" s="131"/>
    </row>
    <row r="323" spans="1:5" ht="12.75">
      <c r="A323" s="131"/>
      <c r="B323" s="131"/>
      <c r="C323" s="131"/>
      <c r="D323" s="131"/>
      <c r="E323" s="131"/>
    </row>
    <row r="324" spans="1:5" ht="12.75">
      <c r="A324" s="130"/>
      <c r="B324" s="130"/>
      <c r="C324" s="130"/>
      <c r="D324" s="130"/>
      <c r="E324" s="130"/>
    </row>
    <row r="325" spans="1:5" ht="12.75">
      <c r="A325" s="130"/>
      <c r="B325" s="130"/>
      <c r="C325" s="130"/>
      <c r="D325" s="130"/>
      <c r="E325" s="130"/>
    </row>
    <row r="326" spans="1:5" ht="12.75">
      <c r="A326" s="130"/>
      <c r="B326" s="130"/>
      <c r="C326" s="130"/>
      <c r="D326" s="130"/>
      <c r="E326" s="130"/>
    </row>
    <row r="327" spans="1:5" ht="12.75">
      <c r="A327" s="131"/>
      <c r="B327" s="131"/>
      <c r="C327" s="131"/>
      <c r="D327" s="131"/>
      <c r="E327" s="131"/>
    </row>
    <row r="328" spans="1:5" ht="12.75">
      <c r="A328" s="131"/>
      <c r="B328" s="131"/>
      <c r="C328" s="131"/>
      <c r="D328" s="131"/>
      <c r="E328" s="131"/>
    </row>
    <row r="329" spans="1:5" ht="12.75">
      <c r="A329" s="131"/>
      <c r="B329" s="131"/>
      <c r="C329" s="131"/>
      <c r="D329" s="131"/>
      <c r="E329" s="131"/>
    </row>
    <row r="330" spans="1:5" ht="12.75">
      <c r="A330" s="130"/>
      <c r="B330" s="130"/>
      <c r="C330" s="130"/>
      <c r="D330" s="130"/>
      <c r="E330" s="130"/>
    </row>
    <row r="331" spans="1:5" ht="12.75">
      <c r="A331" s="130"/>
      <c r="B331" s="130"/>
      <c r="C331" s="130"/>
      <c r="D331" s="130"/>
      <c r="E331" s="130"/>
    </row>
    <row r="332" spans="1:5" ht="12.75">
      <c r="A332" s="130"/>
      <c r="B332" s="130"/>
      <c r="C332" s="130"/>
      <c r="D332" s="130"/>
      <c r="E332" s="130"/>
    </row>
    <row r="333" spans="1:5" ht="12.75">
      <c r="A333" s="131"/>
      <c r="B333" s="131"/>
      <c r="C333" s="131"/>
      <c r="D333" s="131"/>
      <c r="E333" s="131"/>
    </row>
    <row r="334" spans="1:5" ht="12.75">
      <c r="A334" s="131"/>
      <c r="B334" s="131"/>
      <c r="C334" s="131"/>
      <c r="D334" s="131"/>
      <c r="E334" s="131"/>
    </row>
    <row r="335" spans="1:5" ht="12.75">
      <c r="A335" s="131"/>
      <c r="B335" s="131"/>
      <c r="C335" s="131"/>
      <c r="D335" s="131"/>
      <c r="E335" s="131"/>
    </row>
    <row r="336" spans="1:5" ht="12.75">
      <c r="A336" s="130"/>
      <c r="B336" s="130"/>
      <c r="C336" s="130"/>
      <c r="D336" s="130"/>
      <c r="E336" s="130"/>
    </row>
    <row r="337" spans="1:5" ht="12.75">
      <c r="A337" s="130"/>
      <c r="B337" s="130"/>
      <c r="C337" s="130"/>
      <c r="D337" s="130"/>
      <c r="E337" s="130"/>
    </row>
    <row r="338" spans="1:5" ht="12.75">
      <c r="A338" s="130"/>
      <c r="B338" s="130"/>
      <c r="C338" s="130"/>
      <c r="D338" s="130"/>
      <c r="E338" s="130"/>
    </row>
    <row r="339" spans="1:5" ht="12.75">
      <c r="A339" s="131"/>
      <c r="B339" s="131"/>
      <c r="C339" s="131"/>
      <c r="D339" s="131"/>
      <c r="E339" s="131"/>
    </row>
    <row r="340" spans="1:5" ht="12.75">
      <c r="A340" s="131"/>
      <c r="B340" s="131"/>
      <c r="C340" s="131"/>
      <c r="D340" s="131"/>
      <c r="E340" s="131"/>
    </row>
    <row r="341" spans="1:5" ht="12.75">
      <c r="A341" s="131"/>
      <c r="B341" s="131"/>
      <c r="C341" s="131"/>
      <c r="D341" s="131"/>
      <c r="E341" s="131"/>
    </row>
    <row r="342" spans="1:5" ht="12.75">
      <c r="A342" s="130"/>
      <c r="B342" s="130"/>
      <c r="C342" s="130"/>
      <c r="D342" s="130"/>
      <c r="E342" s="130"/>
    </row>
    <row r="343" spans="1:5" ht="12.75">
      <c r="A343" s="130"/>
      <c r="B343" s="130"/>
      <c r="C343" s="130"/>
      <c r="D343" s="130"/>
      <c r="E343" s="130"/>
    </row>
    <row r="344" spans="1:5" ht="12.75">
      <c r="A344" s="130"/>
      <c r="B344" s="130"/>
      <c r="C344" s="130"/>
      <c r="D344" s="130"/>
      <c r="E344" s="130"/>
    </row>
    <row r="345" spans="1:5" ht="12.75">
      <c r="A345" s="131"/>
      <c r="B345" s="131"/>
      <c r="C345" s="131"/>
      <c r="D345" s="131"/>
      <c r="E345" s="131"/>
    </row>
    <row r="346" spans="1:5" ht="12.75">
      <c r="A346" s="131"/>
      <c r="B346" s="131"/>
      <c r="C346" s="131"/>
      <c r="D346" s="131"/>
      <c r="E346" s="131"/>
    </row>
    <row r="347" spans="1:5" ht="12.75">
      <c r="A347" s="131"/>
      <c r="B347" s="131"/>
      <c r="C347" s="131"/>
      <c r="D347" s="131"/>
      <c r="E347" s="131"/>
    </row>
    <row r="348" spans="1:5" ht="12.75">
      <c r="A348" s="130"/>
      <c r="B348" s="130"/>
      <c r="C348" s="130"/>
      <c r="D348" s="130"/>
      <c r="E348" s="130"/>
    </row>
    <row r="349" spans="1:5" ht="12.75">
      <c r="A349" s="130"/>
      <c r="B349" s="130"/>
      <c r="C349" s="130"/>
      <c r="D349" s="130"/>
      <c r="E349" s="130"/>
    </row>
    <row r="350" spans="1:5" ht="12.75">
      <c r="A350" s="130"/>
      <c r="B350" s="130"/>
      <c r="C350" s="130"/>
      <c r="D350" s="130"/>
      <c r="E350" s="130"/>
    </row>
    <row r="351" spans="1:5" ht="12.75">
      <c r="A351" s="131"/>
      <c r="B351" s="131"/>
      <c r="C351" s="131"/>
      <c r="D351" s="131"/>
      <c r="E351" s="131"/>
    </row>
    <row r="352" spans="1:5" ht="12.75">
      <c r="A352" s="131"/>
      <c r="B352" s="131"/>
      <c r="C352" s="131"/>
      <c r="D352" s="131"/>
      <c r="E352" s="131"/>
    </row>
    <row r="353" spans="1:5" ht="12.75">
      <c r="A353" s="131"/>
      <c r="B353" s="131"/>
      <c r="C353" s="131"/>
      <c r="D353" s="131"/>
      <c r="E353" s="131"/>
    </row>
    <row r="354" spans="1:5" ht="12.75">
      <c r="A354" s="130"/>
      <c r="B354" s="130"/>
      <c r="C354" s="130"/>
      <c r="D354" s="130"/>
      <c r="E354" s="130"/>
    </row>
    <row r="355" spans="1:5" ht="12.75">
      <c r="A355" s="130"/>
      <c r="B355" s="130"/>
      <c r="C355" s="130"/>
      <c r="D355" s="130"/>
      <c r="E355" s="130"/>
    </row>
    <row r="356" spans="1:5" ht="12.75">
      <c r="A356" s="130"/>
      <c r="B356" s="130"/>
      <c r="C356" s="130"/>
      <c r="D356" s="130"/>
      <c r="E356" s="130"/>
    </row>
    <row r="357" spans="1:5" ht="12.75">
      <c r="A357" s="131"/>
      <c r="B357" s="131"/>
      <c r="C357" s="131"/>
      <c r="D357" s="131"/>
      <c r="E357" s="131"/>
    </row>
    <row r="358" spans="1:5" ht="12.75">
      <c r="A358" s="131"/>
      <c r="B358" s="131"/>
      <c r="C358" s="131"/>
      <c r="D358" s="131"/>
      <c r="E358" s="131"/>
    </row>
    <row r="359" spans="1:5" ht="12.75">
      <c r="A359" s="131"/>
      <c r="B359" s="131"/>
      <c r="C359" s="131"/>
      <c r="D359" s="131"/>
      <c r="E359" s="131"/>
    </row>
    <row r="360" spans="1:5" ht="12.75">
      <c r="A360" s="130"/>
      <c r="B360" s="130"/>
      <c r="C360" s="130"/>
      <c r="D360" s="130"/>
      <c r="E360" s="130"/>
    </row>
    <row r="361" spans="1:5" ht="12.75">
      <c r="A361" s="130"/>
      <c r="B361" s="130"/>
      <c r="C361" s="130"/>
      <c r="D361" s="130"/>
      <c r="E361" s="130"/>
    </row>
    <row r="362" spans="1:5" ht="12.75">
      <c r="A362" s="130"/>
      <c r="B362" s="130"/>
      <c r="C362" s="130"/>
      <c r="D362" s="130"/>
      <c r="E362" s="130"/>
    </row>
    <row r="363" spans="1:5" ht="12.75">
      <c r="A363" s="131"/>
      <c r="B363" s="131"/>
      <c r="C363" s="131"/>
      <c r="D363" s="131"/>
      <c r="E363" s="131"/>
    </row>
    <row r="364" spans="1:5" ht="12.75">
      <c r="A364" s="131"/>
      <c r="B364" s="131"/>
      <c r="C364" s="131"/>
      <c r="D364" s="131"/>
      <c r="E364" s="131"/>
    </row>
    <row r="365" spans="1:5" ht="12.75">
      <c r="A365" s="131"/>
      <c r="B365" s="131"/>
      <c r="C365" s="131"/>
      <c r="D365" s="131"/>
      <c r="E365" s="131"/>
    </row>
    <row r="366" spans="1:5" ht="12.75">
      <c r="A366" s="130"/>
      <c r="B366" s="130"/>
      <c r="C366" s="130"/>
      <c r="D366" s="130"/>
      <c r="E366" s="130"/>
    </row>
    <row r="367" spans="1:5" ht="12.75">
      <c r="A367" s="130"/>
      <c r="B367" s="130"/>
      <c r="C367" s="130"/>
      <c r="D367" s="130"/>
      <c r="E367" s="130"/>
    </row>
    <row r="368" spans="1:5" ht="12.75">
      <c r="A368" s="130"/>
      <c r="B368" s="130"/>
      <c r="C368" s="130"/>
      <c r="D368" s="130"/>
      <c r="E368" s="130"/>
    </row>
    <row r="369" spans="1:5" ht="12.75">
      <c r="A369" s="131"/>
      <c r="B369" s="131"/>
      <c r="C369" s="131"/>
      <c r="D369" s="131"/>
      <c r="E369" s="131"/>
    </row>
    <row r="370" spans="1:5" ht="12.75">
      <c r="A370" s="131"/>
      <c r="B370" s="131"/>
      <c r="C370" s="131"/>
      <c r="D370" s="131"/>
      <c r="E370" s="131"/>
    </row>
    <row r="371" spans="1:5" ht="12.75">
      <c r="A371" s="131"/>
      <c r="B371" s="131"/>
      <c r="C371" s="131"/>
      <c r="D371" s="131"/>
      <c r="E371" s="131"/>
    </row>
    <row r="372" spans="1:5" ht="12.75">
      <c r="A372" s="130"/>
      <c r="B372" s="130"/>
      <c r="C372" s="130"/>
      <c r="D372" s="130"/>
      <c r="E372" s="130"/>
    </row>
    <row r="373" spans="1:5" ht="12.75">
      <c r="A373" s="130"/>
      <c r="B373" s="130"/>
      <c r="C373" s="130"/>
      <c r="D373" s="130"/>
      <c r="E373" s="130"/>
    </row>
    <row r="374" spans="1:5" ht="12.75">
      <c r="A374" s="130"/>
      <c r="B374" s="130"/>
      <c r="C374" s="130"/>
      <c r="D374" s="130"/>
      <c r="E374" s="130"/>
    </row>
    <row r="375" spans="1:5" ht="12.75">
      <c r="A375" s="131"/>
      <c r="B375" s="131"/>
      <c r="C375" s="131"/>
      <c r="D375" s="131"/>
      <c r="E375" s="131"/>
    </row>
    <row r="376" spans="1:5" ht="12.75">
      <c r="A376" s="131"/>
      <c r="B376" s="131"/>
      <c r="C376" s="131"/>
      <c r="D376" s="131"/>
      <c r="E376" s="131"/>
    </row>
    <row r="377" spans="1:5" ht="12.75">
      <c r="A377" s="131"/>
      <c r="B377" s="131"/>
      <c r="C377" s="131"/>
      <c r="D377" s="131"/>
      <c r="E377" s="131"/>
    </row>
    <row r="378" spans="1:5" ht="12.75">
      <c r="A378" s="130"/>
      <c r="B378" s="130"/>
      <c r="C378" s="130"/>
      <c r="D378" s="130"/>
      <c r="E378" s="130"/>
    </row>
    <row r="379" spans="1:5" ht="12.75">
      <c r="A379" s="130"/>
      <c r="B379" s="130"/>
      <c r="C379" s="130"/>
      <c r="D379" s="130"/>
      <c r="E379" s="130"/>
    </row>
    <row r="380" spans="1:5" ht="12.75">
      <c r="A380" s="130"/>
      <c r="B380" s="130"/>
      <c r="C380" s="130"/>
      <c r="D380" s="130"/>
      <c r="E380" s="130"/>
    </row>
    <row r="381" spans="1:5" ht="12.75">
      <c r="A381" s="131"/>
      <c r="B381" s="131"/>
      <c r="C381" s="131"/>
      <c r="D381" s="131"/>
      <c r="E381" s="131"/>
    </row>
    <row r="382" spans="1:5" ht="12.75">
      <c r="A382" s="131"/>
      <c r="B382" s="131"/>
      <c r="C382" s="131"/>
      <c r="D382" s="131"/>
      <c r="E382" s="131"/>
    </row>
    <row r="383" spans="1:5" ht="12.75">
      <c r="A383" s="131"/>
      <c r="B383" s="131"/>
      <c r="C383" s="131"/>
      <c r="D383" s="131"/>
      <c r="E383" s="131"/>
    </row>
    <row r="384" spans="1:5" ht="12.75">
      <c r="A384" s="130"/>
      <c r="B384" s="130"/>
      <c r="C384" s="130"/>
      <c r="D384" s="130"/>
      <c r="E384" s="130"/>
    </row>
    <row r="385" spans="1:5" ht="12.75">
      <c r="A385" s="130"/>
      <c r="B385" s="130"/>
      <c r="C385" s="130"/>
      <c r="D385" s="130"/>
      <c r="E385" s="130"/>
    </row>
    <row r="386" spans="1:5" ht="12.75">
      <c r="A386" s="130"/>
      <c r="B386" s="130"/>
      <c r="C386" s="130"/>
      <c r="D386" s="130"/>
      <c r="E386" s="130"/>
    </row>
    <row r="387" spans="1:5" ht="12.75">
      <c r="A387" s="131"/>
      <c r="B387" s="131"/>
      <c r="C387" s="131"/>
      <c r="D387" s="131"/>
      <c r="E387" s="131"/>
    </row>
    <row r="388" spans="1:5" ht="12.75">
      <c r="A388" s="131"/>
      <c r="B388" s="131"/>
      <c r="C388" s="131"/>
      <c r="D388" s="131"/>
      <c r="E388" s="131"/>
    </row>
    <row r="389" spans="1:5" ht="12.75">
      <c r="A389" s="131"/>
      <c r="B389" s="131"/>
      <c r="C389" s="131"/>
      <c r="D389" s="131"/>
      <c r="E389" s="131"/>
    </row>
    <row r="390" spans="1:5" ht="12.75">
      <c r="A390" s="130"/>
      <c r="B390" s="130"/>
      <c r="C390" s="130"/>
      <c r="D390" s="130"/>
      <c r="E390" s="130"/>
    </row>
    <row r="391" spans="1:5" ht="12.75">
      <c r="A391" s="130"/>
      <c r="B391" s="130"/>
      <c r="C391" s="130"/>
      <c r="D391" s="130"/>
      <c r="E391" s="130"/>
    </row>
    <row r="392" spans="1:5" ht="12.75">
      <c r="A392" s="130"/>
      <c r="B392" s="130"/>
      <c r="C392" s="130"/>
      <c r="D392" s="130"/>
      <c r="E392" s="130"/>
    </row>
  </sheetData>
  <sheetProtection/>
  <mergeCells count="280">
    <mergeCell ref="AH38:AJ38"/>
    <mergeCell ref="AK38:AM38"/>
    <mergeCell ref="G1:AG1"/>
    <mergeCell ref="AH1:AM1"/>
    <mergeCell ref="AH3:AJ4"/>
    <mergeCell ref="AK3:AM4"/>
    <mergeCell ref="AH5:AJ5"/>
    <mergeCell ref="AK5:AM5"/>
    <mergeCell ref="AH36:AJ36"/>
    <mergeCell ref="AK36:AM36"/>
    <mergeCell ref="AH37:AJ37"/>
    <mergeCell ref="AK37:AM37"/>
    <mergeCell ref="AH34:AJ34"/>
    <mergeCell ref="AK34:AM34"/>
    <mergeCell ref="AH35:AJ35"/>
    <mergeCell ref="AK35:AM35"/>
    <mergeCell ref="AH31:AJ31"/>
    <mergeCell ref="AK31:AM31"/>
    <mergeCell ref="AH32:AJ32"/>
    <mergeCell ref="AK32:AM32"/>
    <mergeCell ref="AH33:AJ33"/>
    <mergeCell ref="AK33:AM33"/>
    <mergeCell ref="AH28:AJ28"/>
    <mergeCell ref="AK28:AM28"/>
    <mergeCell ref="AH29:AJ29"/>
    <mergeCell ref="AK29:AM29"/>
    <mergeCell ref="AH30:AJ30"/>
    <mergeCell ref="AK30:AM30"/>
    <mergeCell ref="AH25:AJ25"/>
    <mergeCell ref="AK25:AM25"/>
    <mergeCell ref="AH26:AJ26"/>
    <mergeCell ref="AK26:AM26"/>
    <mergeCell ref="AH27:AJ27"/>
    <mergeCell ref="AK27:AM27"/>
    <mergeCell ref="AH22:AJ22"/>
    <mergeCell ref="AK22:AM22"/>
    <mergeCell ref="AH23:AJ23"/>
    <mergeCell ref="AK23:AM23"/>
    <mergeCell ref="AH24:AJ24"/>
    <mergeCell ref="AK24:AM24"/>
    <mergeCell ref="AH19:AJ19"/>
    <mergeCell ref="AK19:AM19"/>
    <mergeCell ref="AH20:AJ20"/>
    <mergeCell ref="AK20:AM20"/>
    <mergeCell ref="AH21:AJ21"/>
    <mergeCell ref="AK21:AM21"/>
    <mergeCell ref="AH16:AJ16"/>
    <mergeCell ref="AK16:AM16"/>
    <mergeCell ref="AH17:AJ17"/>
    <mergeCell ref="AK17:AM17"/>
    <mergeCell ref="AH18:AJ18"/>
    <mergeCell ref="AK18:AM18"/>
    <mergeCell ref="AH13:AJ13"/>
    <mergeCell ref="AK13:AM13"/>
    <mergeCell ref="AH14:AJ14"/>
    <mergeCell ref="AK14:AM14"/>
    <mergeCell ref="AH15:AJ15"/>
    <mergeCell ref="AK15:AM15"/>
    <mergeCell ref="AH10:AJ10"/>
    <mergeCell ref="AK10:AM10"/>
    <mergeCell ref="AH11:AJ11"/>
    <mergeCell ref="AK11:AM11"/>
    <mergeCell ref="AH12:AJ12"/>
    <mergeCell ref="AK12:AM12"/>
    <mergeCell ref="AK6:AM6"/>
    <mergeCell ref="AH7:AJ7"/>
    <mergeCell ref="AK7:AM7"/>
    <mergeCell ref="AH8:AJ8"/>
    <mergeCell ref="AK8:AM8"/>
    <mergeCell ref="AH9:AJ9"/>
    <mergeCell ref="AK9:AM9"/>
    <mergeCell ref="AH2:AM2"/>
    <mergeCell ref="A148:E149"/>
    <mergeCell ref="A150:E151"/>
    <mergeCell ref="A132:E133"/>
    <mergeCell ref="A134:E135"/>
    <mergeCell ref="A136:E137"/>
    <mergeCell ref="A138:E139"/>
    <mergeCell ref="A124:E125"/>
    <mergeCell ref="A126:E127"/>
    <mergeCell ref="AH6:AJ6"/>
    <mergeCell ref="AG2:AG3"/>
    <mergeCell ref="A112:E113"/>
    <mergeCell ref="A114:E115"/>
    <mergeCell ref="A128:E129"/>
    <mergeCell ref="A108:E109"/>
    <mergeCell ref="A110:E111"/>
    <mergeCell ref="A92:E93"/>
    <mergeCell ref="A94:E95"/>
    <mergeCell ref="A96:E97"/>
    <mergeCell ref="A98:E99"/>
    <mergeCell ref="A122:E123"/>
    <mergeCell ref="A152:E153"/>
    <mergeCell ref="A140:E141"/>
    <mergeCell ref="A142:E143"/>
    <mergeCell ref="A144:E145"/>
    <mergeCell ref="A146:E147"/>
    <mergeCell ref="A88:E89"/>
    <mergeCell ref="A90:E91"/>
    <mergeCell ref="A130:E131"/>
    <mergeCell ref="A100:E101"/>
    <mergeCell ref="A102:E103"/>
    <mergeCell ref="A104:E105"/>
    <mergeCell ref="A106:E107"/>
    <mergeCell ref="A116:E117"/>
    <mergeCell ref="A118:E119"/>
    <mergeCell ref="A120:E121"/>
    <mergeCell ref="A76:E77"/>
    <mergeCell ref="A78:E79"/>
    <mergeCell ref="A80:E81"/>
    <mergeCell ref="A82:E83"/>
    <mergeCell ref="A84:E85"/>
    <mergeCell ref="A86:E87"/>
    <mergeCell ref="G2:N3"/>
    <mergeCell ref="O2:W3"/>
    <mergeCell ref="A34:E35"/>
    <mergeCell ref="A28:E29"/>
    <mergeCell ref="A30:E31"/>
    <mergeCell ref="A26:E27"/>
    <mergeCell ref="A2:E4"/>
    <mergeCell ref="A5:E5"/>
    <mergeCell ref="A6:E6"/>
    <mergeCell ref="A7:E7"/>
    <mergeCell ref="X2:AA3"/>
    <mergeCell ref="AB2:AF3"/>
    <mergeCell ref="A1:E1"/>
    <mergeCell ref="A32:E33"/>
    <mergeCell ref="A24:E25"/>
    <mergeCell ref="A8:E9"/>
    <mergeCell ref="A10:E11"/>
    <mergeCell ref="A12:E13"/>
    <mergeCell ref="A14:E15"/>
    <mergeCell ref="F1:F4"/>
    <mergeCell ref="A62:E63"/>
    <mergeCell ref="A64:E65"/>
    <mergeCell ref="A58:E59"/>
    <mergeCell ref="A60:E61"/>
    <mergeCell ref="A70:E71"/>
    <mergeCell ref="A72:E73"/>
    <mergeCell ref="A66:E67"/>
    <mergeCell ref="A68:E69"/>
    <mergeCell ref="A54:E55"/>
    <mergeCell ref="A16:E17"/>
    <mergeCell ref="A18:E19"/>
    <mergeCell ref="A20:E21"/>
    <mergeCell ref="A22:E23"/>
    <mergeCell ref="A44:E45"/>
    <mergeCell ref="A74:E75"/>
    <mergeCell ref="A36:E37"/>
    <mergeCell ref="A38:E39"/>
    <mergeCell ref="A40:E41"/>
    <mergeCell ref="A42:E43"/>
    <mergeCell ref="A56:E57"/>
    <mergeCell ref="A50:E51"/>
    <mergeCell ref="A52:E53"/>
    <mergeCell ref="A46:E47"/>
    <mergeCell ref="A48:E49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360:E362"/>
    <mergeCell ref="A363:E365"/>
    <mergeCell ref="A384:E386"/>
    <mergeCell ref="A366:E368"/>
    <mergeCell ref="A369:E371"/>
    <mergeCell ref="A372:E374"/>
    <mergeCell ref="A375:E377"/>
    <mergeCell ref="A342:E344"/>
    <mergeCell ref="A345:E347"/>
    <mergeCell ref="A348:E350"/>
    <mergeCell ref="A351:E353"/>
    <mergeCell ref="A354:E356"/>
    <mergeCell ref="A357:E359"/>
    <mergeCell ref="A189:E191"/>
    <mergeCell ref="A192:E194"/>
    <mergeCell ref="A195:E197"/>
    <mergeCell ref="A339:E341"/>
    <mergeCell ref="A252:E254"/>
    <mergeCell ref="A255:E257"/>
    <mergeCell ref="A198:E200"/>
    <mergeCell ref="A201:E203"/>
    <mergeCell ref="A333:E335"/>
    <mergeCell ref="A336:E338"/>
    <mergeCell ref="A204:E206"/>
    <mergeCell ref="A207:E209"/>
    <mergeCell ref="A210:E212"/>
    <mergeCell ref="A330:E332"/>
    <mergeCell ref="A213:E215"/>
    <mergeCell ref="A216:E218"/>
    <mergeCell ref="A219:E221"/>
    <mergeCell ref="A327:E329"/>
    <mergeCell ref="A222:E224"/>
    <mergeCell ref="A225:E227"/>
    <mergeCell ref="A324:E326"/>
    <mergeCell ref="A228:E230"/>
    <mergeCell ref="A231:E233"/>
    <mergeCell ref="A234:E236"/>
    <mergeCell ref="A237:E239"/>
    <mergeCell ref="A240:E242"/>
    <mergeCell ref="A243:E245"/>
    <mergeCell ref="A246:E248"/>
    <mergeCell ref="A249:E251"/>
    <mergeCell ref="A276:E278"/>
    <mergeCell ref="A321:E323"/>
    <mergeCell ref="A261:E263"/>
    <mergeCell ref="A264:E266"/>
    <mergeCell ref="A267:E269"/>
    <mergeCell ref="A291:E293"/>
    <mergeCell ref="A306:E308"/>
    <mergeCell ref="A279:E281"/>
    <mergeCell ref="A300:E302"/>
    <mergeCell ref="A303:E305"/>
    <mergeCell ref="A282:E284"/>
    <mergeCell ref="A183:E185"/>
    <mergeCell ref="A186:E188"/>
    <mergeCell ref="A318:E320"/>
    <mergeCell ref="A270:E272"/>
    <mergeCell ref="A273:E275"/>
    <mergeCell ref="A312:E314"/>
    <mergeCell ref="A315:E317"/>
    <mergeCell ref="A309:E311"/>
    <mergeCell ref="A285:E287"/>
    <mergeCell ref="A288:E290"/>
    <mergeCell ref="A294:E296"/>
    <mergeCell ref="A297:E299"/>
    <mergeCell ref="T22:X23"/>
    <mergeCell ref="T24:X25"/>
    <mergeCell ref="T26:X27"/>
    <mergeCell ref="T28:X29"/>
    <mergeCell ref="A177:E179"/>
    <mergeCell ref="A180:E182"/>
    <mergeCell ref="A154:E155"/>
    <mergeCell ref="A156:E157"/>
    <mergeCell ref="A158:E159"/>
    <mergeCell ref="A160:E161"/>
    <mergeCell ref="T38:X39"/>
    <mergeCell ref="T40:X41"/>
    <mergeCell ref="T42:X43"/>
    <mergeCell ref="T44:X45"/>
    <mergeCell ref="T58:X59"/>
    <mergeCell ref="T60:X61"/>
    <mergeCell ref="T70:X71"/>
    <mergeCell ref="T72:X73"/>
    <mergeCell ref="T30:X31"/>
    <mergeCell ref="T32:X33"/>
    <mergeCell ref="T34:X35"/>
    <mergeCell ref="T36:X37"/>
    <mergeCell ref="T54:X55"/>
    <mergeCell ref="T56:X57"/>
    <mergeCell ref="T46:X47"/>
    <mergeCell ref="T48:X49"/>
    <mergeCell ref="T50:X51"/>
    <mergeCell ref="T52:X53"/>
    <mergeCell ref="T74:X75"/>
    <mergeCell ref="T76:X77"/>
    <mergeCell ref="T62:X63"/>
    <mergeCell ref="T64:X65"/>
    <mergeCell ref="T66:X67"/>
    <mergeCell ref="T68:X69"/>
    <mergeCell ref="T86:X87"/>
    <mergeCell ref="T88:X89"/>
    <mergeCell ref="T90:X91"/>
    <mergeCell ref="T92:X93"/>
    <mergeCell ref="T78:X79"/>
    <mergeCell ref="T80:X81"/>
    <mergeCell ref="T82:X83"/>
    <mergeCell ref="T84:X85"/>
    <mergeCell ref="T102:X103"/>
    <mergeCell ref="T104:X105"/>
    <mergeCell ref="T94:X95"/>
    <mergeCell ref="T96:X97"/>
    <mergeCell ref="T98:X99"/>
    <mergeCell ref="T100:X101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view="pageBreakPreview" zoomScale="40" zoomScaleNormal="50" zoomScaleSheetLayoutView="40" zoomScalePageLayoutView="40" workbookViewId="0" topLeftCell="K1">
      <selection activeCell="AG1" sqref="AG1"/>
    </sheetView>
  </sheetViews>
  <sheetFormatPr defaultColWidth="9.140625" defaultRowHeight="12.75"/>
  <cols>
    <col min="1" max="25" width="15.7109375" style="0" customWidth="1"/>
    <col min="26" max="40" width="17.7109375" style="0" customWidth="1"/>
    <col min="43" max="43" width="86.57421875" style="61" bestFit="1" customWidth="1"/>
    <col min="44" max="44" width="35.7109375" style="0" customWidth="1"/>
    <col min="45" max="45" width="14.00390625" style="0" bestFit="1" customWidth="1"/>
    <col min="46" max="46" width="10.421875" style="0" bestFit="1" customWidth="1"/>
    <col min="47" max="47" width="57.00390625" style="0" customWidth="1"/>
    <col min="48" max="48" width="26.00390625" style="0" bestFit="1" customWidth="1"/>
    <col min="49" max="49" width="31.00390625" style="0" bestFit="1" customWidth="1"/>
    <col min="50" max="50" width="47.28125" style="0" customWidth="1"/>
    <col min="51" max="51" width="17.7109375" style="0" bestFit="1" customWidth="1"/>
    <col min="52" max="52" width="53.28125" style="0" customWidth="1"/>
    <col min="53" max="53" width="23.8515625" style="0" bestFit="1" customWidth="1"/>
    <col min="54" max="54" width="15.421875" style="0" bestFit="1" customWidth="1"/>
    <col min="55" max="55" width="28.421875" style="0" bestFit="1" customWidth="1"/>
    <col min="56" max="56" width="29.8515625" style="0" bestFit="1" customWidth="1"/>
    <col min="57" max="57" width="27.421875" style="0" bestFit="1" customWidth="1"/>
    <col min="58" max="58" width="18.00390625" style="0" bestFit="1" customWidth="1"/>
    <col min="59" max="59" width="21.7109375" style="0" bestFit="1" customWidth="1"/>
    <col min="60" max="60" width="38.28125" style="0" bestFit="1" customWidth="1"/>
    <col min="61" max="61" width="39.8515625" style="0" bestFit="1" customWidth="1"/>
    <col min="62" max="62" width="10.140625" style="0" bestFit="1" customWidth="1"/>
    <col min="63" max="63" width="13.7109375" style="0" bestFit="1" customWidth="1"/>
    <col min="64" max="64" width="14.57421875" style="0" bestFit="1" customWidth="1"/>
    <col min="65" max="65" width="14.7109375" style="0" bestFit="1" customWidth="1"/>
    <col min="66" max="66" width="25.140625" style="0" bestFit="1" customWidth="1"/>
    <col min="67" max="67" width="20.7109375" style="0" bestFit="1" customWidth="1"/>
    <col min="68" max="68" width="26.00390625" style="0" bestFit="1" customWidth="1"/>
    <col min="69" max="69" width="11.00390625" style="0" bestFit="1" customWidth="1"/>
    <col min="70" max="70" width="6.7109375" style="0" customWidth="1"/>
    <col min="71" max="71" width="15.7109375" style="0" bestFit="1" customWidth="1"/>
    <col min="72" max="72" width="14.8515625" style="0" bestFit="1" customWidth="1"/>
    <col min="73" max="73" width="10.140625" style="0" bestFit="1" customWidth="1"/>
    <col min="74" max="74" width="23.28125" style="0" bestFit="1" customWidth="1"/>
    <col min="75" max="76" width="23.7109375" style="0" bestFit="1" customWidth="1"/>
    <col min="77" max="77" width="22.28125" style="0" bestFit="1" customWidth="1"/>
    <col min="78" max="78" width="37.7109375" style="0" bestFit="1" customWidth="1"/>
    <col min="79" max="79" width="20.7109375" style="0" bestFit="1" customWidth="1"/>
    <col min="80" max="80" width="33.7109375" style="0" bestFit="1" customWidth="1"/>
    <col min="81" max="81" width="20.7109375" style="0" bestFit="1" customWidth="1"/>
    <col min="82" max="82" width="22.7109375" style="0" bestFit="1" customWidth="1"/>
    <col min="83" max="83" width="24.7109375" style="0" bestFit="1" customWidth="1"/>
    <col min="84" max="84" width="12.140625" style="0" bestFit="1" customWidth="1"/>
    <col min="85" max="85" width="15.7109375" style="0" bestFit="1" customWidth="1"/>
    <col min="86" max="86" width="38.421875" style="0" bestFit="1" customWidth="1"/>
    <col min="87" max="87" width="12.140625" style="0" bestFit="1" customWidth="1"/>
    <col min="88" max="88" width="12.28125" style="0" bestFit="1" customWidth="1"/>
    <col min="89" max="89" width="19.28125" style="0" bestFit="1" customWidth="1"/>
    <col min="90" max="90" width="31.57421875" style="0" bestFit="1" customWidth="1"/>
    <col min="91" max="91" width="27.7109375" style="0" bestFit="1" customWidth="1"/>
    <col min="92" max="92" width="15.00390625" style="0" bestFit="1" customWidth="1"/>
    <col min="93" max="93" width="10.140625" style="0" bestFit="1" customWidth="1"/>
    <col min="94" max="94" width="23.28125" style="0" bestFit="1" customWidth="1"/>
    <col min="95" max="95" width="24.8515625" style="0" bestFit="1" customWidth="1"/>
    <col min="96" max="96" width="18.28125" style="0" bestFit="1" customWidth="1"/>
    <col min="97" max="97" width="33.57421875" style="0" customWidth="1"/>
    <col min="98" max="98" width="11.28125" style="0" customWidth="1"/>
    <col min="99" max="99" width="27.7109375" style="0" customWidth="1"/>
    <col min="100" max="100" width="22.8515625" style="0" bestFit="1" customWidth="1"/>
    <col min="101" max="101" width="11.28125" style="0" bestFit="1" customWidth="1"/>
    <col min="102" max="102" width="6.7109375" style="0" customWidth="1"/>
    <col min="103" max="103" width="7.7109375" style="0" customWidth="1"/>
    <col min="104" max="104" width="12.8515625" style="0" bestFit="1" customWidth="1"/>
    <col min="105" max="105" width="24.00390625" style="0" bestFit="1" customWidth="1"/>
    <col min="106" max="106" width="13.00390625" style="0" bestFit="1" customWidth="1"/>
    <col min="107" max="107" width="27.28125" style="0" bestFit="1" customWidth="1"/>
    <col min="108" max="108" width="18.7109375" style="0" bestFit="1" customWidth="1"/>
    <col min="109" max="109" width="11.28125" style="0" bestFit="1" customWidth="1"/>
    <col min="110" max="110" width="27.7109375" style="0" bestFit="1" customWidth="1"/>
    <col min="111" max="111" width="37.8515625" style="0" bestFit="1" customWidth="1"/>
    <col min="112" max="112" width="10.7109375" style="0" bestFit="1" customWidth="1"/>
    <col min="113" max="113" width="30.7109375" style="0" bestFit="1" customWidth="1"/>
    <col min="114" max="114" width="23.28125" style="0" bestFit="1" customWidth="1"/>
    <col min="115" max="115" width="22.28125" style="0" bestFit="1" customWidth="1"/>
    <col min="116" max="116" width="17.28125" style="0" bestFit="1" customWidth="1"/>
    <col min="117" max="117" width="11.7109375" style="0" bestFit="1" customWidth="1"/>
    <col min="118" max="118" width="17.140625" style="0" bestFit="1" customWidth="1"/>
    <col min="119" max="119" width="17.7109375" style="0" bestFit="1" customWidth="1"/>
    <col min="120" max="120" width="14.8515625" style="0" bestFit="1" customWidth="1"/>
    <col min="121" max="121" width="36.00390625" style="0" bestFit="1" customWidth="1"/>
    <col min="122" max="122" width="37.28125" style="0" bestFit="1" customWidth="1"/>
    <col min="123" max="123" width="31.00390625" style="0" bestFit="1" customWidth="1"/>
    <col min="124" max="124" width="31.421875" style="0" bestFit="1" customWidth="1"/>
    <col min="125" max="125" width="24.8515625" style="0" bestFit="1" customWidth="1"/>
    <col min="126" max="126" width="32.8515625" style="0" bestFit="1" customWidth="1"/>
    <col min="127" max="127" width="26.57421875" style="0" bestFit="1" customWidth="1"/>
  </cols>
  <sheetData>
    <row r="1" spans="1:129" ht="27" customHeight="1">
      <c r="A1" s="221" t="s">
        <v>168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9"/>
      <c r="U1" s="300" t="s">
        <v>171</v>
      </c>
      <c r="V1" s="300"/>
      <c r="W1" s="300"/>
      <c r="X1" s="300"/>
      <c r="Y1" s="300"/>
      <c r="Z1" s="300"/>
      <c r="AA1" s="300"/>
      <c r="AB1" s="300"/>
      <c r="AC1" s="300"/>
      <c r="AD1" s="300"/>
      <c r="AE1" s="300"/>
      <c r="AF1" s="4"/>
      <c r="AG1" s="42"/>
      <c r="AH1" s="303" t="s">
        <v>182</v>
      </c>
      <c r="AI1" s="303"/>
      <c r="AJ1" s="303"/>
      <c r="AK1" s="303"/>
      <c r="AL1" s="303"/>
      <c r="AM1" s="303"/>
      <c r="AN1" s="303"/>
      <c r="AR1" s="61" t="s">
        <v>13</v>
      </c>
      <c r="AS1" s="61" t="s">
        <v>7</v>
      </c>
      <c r="AT1" s="61" t="s">
        <v>14</v>
      </c>
      <c r="AU1" s="61" t="s">
        <v>256</v>
      </c>
      <c r="AV1" s="61" t="s">
        <v>15</v>
      </c>
      <c r="AW1" s="61" t="s">
        <v>4</v>
      </c>
      <c r="AX1" s="61" t="s">
        <v>17</v>
      </c>
      <c r="AY1" s="61" t="s">
        <v>257</v>
      </c>
      <c r="AZ1" s="61" t="s">
        <v>61</v>
      </c>
      <c r="BA1" s="61" t="s">
        <v>19</v>
      </c>
      <c r="BB1" s="61" t="s">
        <v>62</v>
      </c>
      <c r="BC1" s="61" t="s">
        <v>20</v>
      </c>
      <c r="BD1" s="61" t="s">
        <v>21</v>
      </c>
      <c r="BE1" s="61" t="s">
        <v>22</v>
      </c>
      <c r="BF1" s="61" t="s">
        <v>63</v>
      </c>
      <c r="BG1" s="61" t="s">
        <v>24</v>
      </c>
      <c r="BH1" s="61" t="s">
        <v>25</v>
      </c>
      <c r="BI1" s="61" t="s">
        <v>26</v>
      </c>
      <c r="BJ1" s="61" t="s">
        <v>27</v>
      </c>
      <c r="BK1" s="61" t="s">
        <v>358</v>
      </c>
      <c r="BL1" s="61" t="s">
        <v>134</v>
      </c>
      <c r="BM1" s="61" t="s">
        <v>28</v>
      </c>
      <c r="BN1" s="61" t="s">
        <v>29</v>
      </c>
      <c r="BO1" s="61" t="s">
        <v>30</v>
      </c>
      <c r="BP1" s="61" t="s">
        <v>34</v>
      </c>
      <c r="BQ1" s="61" t="s">
        <v>64</v>
      </c>
      <c r="BR1" s="61" t="s">
        <v>33</v>
      </c>
      <c r="BS1" s="61" t="s">
        <v>32</v>
      </c>
      <c r="BT1" s="61" t="s">
        <v>327</v>
      </c>
      <c r="BU1" s="61" t="s">
        <v>0</v>
      </c>
      <c r="BV1" s="61" t="s">
        <v>36</v>
      </c>
      <c r="BW1" s="61" t="s">
        <v>35</v>
      </c>
      <c r="BX1" s="61" t="s">
        <v>37</v>
      </c>
      <c r="BY1" s="61" t="s">
        <v>38</v>
      </c>
      <c r="BZ1" s="61" t="s">
        <v>39</v>
      </c>
      <c r="CA1" s="61" t="s">
        <v>40</v>
      </c>
      <c r="CB1" s="61" t="s">
        <v>41</v>
      </c>
      <c r="CC1" s="61" t="s">
        <v>243</v>
      </c>
      <c r="CD1" s="61" t="s">
        <v>42</v>
      </c>
      <c r="CE1" s="61" t="s">
        <v>43</v>
      </c>
      <c r="CF1" s="61" t="s">
        <v>44</v>
      </c>
      <c r="CG1" s="61" t="s">
        <v>45</v>
      </c>
      <c r="CH1" s="61" t="s">
        <v>330</v>
      </c>
      <c r="CI1" s="61" t="s">
        <v>46</v>
      </c>
      <c r="CJ1" s="61" t="s">
        <v>47</v>
      </c>
      <c r="CK1" s="61" t="s">
        <v>331</v>
      </c>
      <c r="CL1" s="61" t="s">
        <v>73</v>
      </c>
      <c r="CM1" s="61" t="s">
        <v>49</v>
      </c>
      <c r="CN1" s="61" t="s">
        <v>354</v>
      </c>
      <c r="CO1" s="61" t="s">
        <v>48</v>
      </c>
      <c r="CP1" s="61" t="s">
        <v>50</v>
      </c>
      <c r="CQ1" s="61" t="s">
        <v>51</v>
      </c>
      <c r="CR1" s="61" t="s">
        <v>52</v>
      </c>
      <c r="CS1" s="61" t="s">
        <v>348</v>
      </c>
      <c r="CT1" s="61" t="s">
        <v>344</v>
      </c>
      <c r="CU1" s="61" t="s">
        <v>321</v>
      </c>
      <c r="CV1" s="61" t="s">
        <v>54</v>
      </c>
      <c r="CW1" s="61" t="s">
        <v>53</v>
      </c>
      <c r="CX1" s="61" t="s">
        <v>2</v>
      </c>
      <c r="CY1" s="61" t="s">
        <v>55</v>
      </c>
      <c r="CZ1" s="61" t="s">
        <v>56</v>
      </c>
      <c r="DA1" s="61" t="s">
        <v>57</v>
      </c>
      <c r="DB1" s="61" t="s">
        <v>58</v>
      </c>
      <c r="DC1" s="61" t="s">
        <v>59</v>
      </c>
      <c r="DD1" s="61" t="s">
        <v>312</v>
      </c>
      <c r="DE1" s="61" t="s">
        <v>74</v>
      </c>
      <c r="DF1" s="61" t="s">
        <v>82</v>
      </c>
      <c r="DG1" s="61" t="s">
        <v>347</v>
      </c>
      <c r="DH1" s="61" t="s">
        <v>102</v>
      </c>
      <c r="DI1" s="61" t="s">
        <v>115</v>
      </c>
      <c r="DJ1" s="61" t="s">
        <v>149</v>
      </c>
      <c r="DK1" s="61" t="s">
        <v>122</v>
      </c>
      <c r="DL1" s="61" t="s">
        <v>138</v>
      </c>
      <c r="DM1" s="61" t="s">
        <v>345</v>
      </c>
      <c r="DN1" s="61" t="s">
        <v>317</v>
      </c>
      <c r="DO1" s="61" t="s">
        <v>286</v>
      </c>
      <c r="DP1" s="61" t="s">
        <v>105</v>
      </c>
      <c r="DQ1" s="61" t="s">
        <v>311</v>
      </c>
      <c r="DR1" s="61" t="s">
        <v>203</v>
      </c>
      <c r="DS1" s="61" t="s">
        <v>204</v>
      </c>
      <c r="DT1" s="61" t="s">
        <v>205</v>
      </c>
      <c r="DU1" s="61" t="s">
        <v>206</v>
      </c>
      <c r="DV1" s="61" t="s">
        <v>207</v>
      </c>
      <c r="DW1" s="61" t="s">
        <v>208</v>
      </c>
      <c r="DX1" s="61" t="s">
        <v>255</v>
      </c>
      <c r="DY1" s="61" t="s">
        <v>287</v>
      </c>
    </row>
    <row r="2" spans="1:128" ht="21" customHeight="1">
      <c r="A2" s="222" t="s">
        <v>169</v>
      </c>
      <c r="B2" s="223"/>
      <c r="C2" s="236" t="s">
        <v>170</v>
      </c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10"/>
      <c r="U2" s="300"/>
      <c r="V2" s="300"/>
      <c r="W2" s="300"/>
      <c r="X2" s="300"/>
      <c r="Y2" s="300"/>
      <c r="Z2" s="300"/>
      <c r="AA2" s="300"/>
      <c r="AB2" s="300"/>
      <c r="AC2" s="300"/>
      <c r="AD2" s="300"/>
      <c r="AE2" s="300"/>
      <c r="AF2" s="16"/>
      <c r="AG2" s="304" t="s">
        <v>183</v>
      </c>
      <c r="AH2" s="305"/>
      <c r="AI2" s="305"/>
      <c r="AJ2" s="305"/>
      <c r="AK2" s="305"/>
      <c r="AL2" s="305"/>
      <c r="AM2" s="305"/>
      <c r="AN2" s="305"/>
      <c r="AP2">
        <v>1</v>
      </c>
      <c r="AQ2" s="62" t="s">
        <v>60</v>
      </c>
      <c r="AR2" s="61"/>
      <c r="AS2" s="61"/>
      <c r="AT2" s="61"/>
      <c r="AU2" s="61"/>
      <c r="AV2" s="61"/>
      <c r="AW2" s="61"/>
      <c r="AX2" s="61"/>
      <c r="AY2" s="61"/>
      <c r="AZ2" s="61">
        <v>7</v>
      </c>
      <c r="BA2" s="61"/>
      <c r="BB2" s="61"/>
      <c r="BC2" s="61">
        <v>7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91</v>
      </c>
      <c r="CI2" s="61">
        <v>18</v>
      </c>
      <c r="CJ2" s="61">
        <v>18</v>
      </c>
      <c r="CK2" s="61"/>
      <c r="CL2" s="61"/>
      <c r="CM2" s="61">
        <v>2</v>
      </c>
      <c r="CN2" s="61"/>
      <c r="CO2" s="61">
        <v>70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350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180</v>
      </c>
      <c r="DU2" s="61">
        <v>100</v>
      </c>
      <c r="DV2" s="61">
        <v>130</v>
      </c>
      <c r="DW2" s="61">
        <v>80</v>
      </c>
      <c r="DX2" s="61"/>
    </row>
    <row r="3" spans="1:128" ht="15" customHeight="1">
      <c r="A3" s="224"/>
      <c r="B3" s="225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10"/>
      <c r="U3" s="300"/>
      <c r="V3" s="300"/>
      <c r="W3" s="300"/>
      <c r="X3" s="300"/>
      <c r="Y3" s="300"/>
      <c r="Z3" s="300"/>
      <c r="AA3" s="300"/>
      <c r="AB3" s="300"/>
      <c r="AC3" s="300"/>
      <c r="AD3" s="300"/>
      <c r="AE3" s="300"/>
      <c r="AF3" s="6"/>
      <c r="AG3" s="6"/>
      <c r="AH3" s="6"/>
      <c r="AI3" s="6"/>
      <c r="AJ3" s="6"/>
      <c r="AK3" s="17"/>
      <c r="AL3" s="17"/>
      <c r="AP3">
        <v>2</v>
      </c>
      <c r="AQ3" s="62" t="s">
        <v>65</v>
      </c>
      <c r="AR3" s="61"/>
      <c r="AS3" s="61"/>
      <c r="AT3" s="61"/>
      <c r="AU3" s="61"/>
      <c r="AV3" s="61"/>
      <c r="AW3" s="61"/>
      <c r="AX3" s="61"/>
      <c r="AY3" s="61"/>
      <c r="AZ3" s="61">
        <v>7</v>
      </c>
      <c r="BA3" s="61"/>
      <c r="BB3" s="61"/>
      <c r="BC3" s="61">
        <v>7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47</v>
      </c>
      <c r="CH3" s="61"/>
      <c r="CI3" s="61">
        <v>18</v>
      </c>
      <c r="CJ3" s="61">
        <v>17</v>
      </c>
      <c r="CK3" s="61"/>
      <c r="CL3" s="61"/>
      <c r="CM3" s="61">
        <v>2</v>
      </c>
      <c r="CN3" s="61"/>
      <c r="CO3" s="61">
        <v>71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350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29</v>
      </c>
      <c r="DR3" s="61"/>
      <c r="DS3" s="61"/>
      <c r="DT3" s="61"/>
      <c r="DU3" s="61"/>
      <c r="DV3" s="61"/>
      <c r="DW3" s="61"/>
      <c r="DX3" s="61"/>
    </row>
    <row r="4" spans="1:128" ht="15" customHeight="1">
      <c r="A4" s="224"/>
      <c r="B4" s="225"/>
      <c r="C4" s="236"/>
      <c r="D4" s="236"/>
      <c r="E4" s="236"/>
      <c r="F4" s="236" t="s">
        <v>193</v>
      </c>
      <c r="G4" s="236"/>
      <c r="H4" s="236" t="s">
        <v>194</v>
      </c>
      <c r="I4" s="236"/>
      <c r="J4" s="236"/>
      <c r="K4" s="236" t="s">
        <v>195</v>
      </c>
      <c r="L4" s="236"/>
      <c r="M4" s="236"/>
      <c r="N4" s="236" t="s">
        <v>196</v>
      </c>
      <c r="O4" s="236"/>
      <c r="P4" s="236"/>
      <c r="Q4" s="236"/>
      <c r="R4" s="236"/>
      <c r="S4" s="236"/>
      <c r="T4" s="6"/>
      <c r="U4" s="293" t="s">
        <v>172</v>
      </c>
      <c r="V4" s="293"/>
      <c r="W4" s="293"/>
      <c r="X4" s="293"/>
      <c r="Y4" s="293"/>
      <c r="Z4" s="293"/>
      <c r="AA4" s="293"/>
      <c r="AB4" s="293"/>
      <c r="AC4" s="293"/>
      <c r="AD4" s="293"/>
      <c r="AE4" s="293"/>
      <c r="AF4" s="306" t="s">
        <v>316</v>
      </c>
      <c r="AG4" s="306"/>
      <c r="AH4" s="306"/>
      <c r="AI4" s="306"/>
      <c r="AJ4" s="306"/>
      <c r="AK4" s="306"/>
      <c r="AL4" s="306"/>
      <c r="AM4" s="306"/>
      <c r="AN4" s="306"/>
      <c r="AP4">
        <v>3</v>
      </c>
      <c r="AQ4" s="62" t="s">
        <v>66</v>
      </c>
      <c r="AR4" s="61"/>
      <c r="AS4" s="61"/>
      <c r="AT4" s="61"/>
      <c r="AU4" s="61"/>
      <c r="AV4" s="61"/>
      <c r="AW4" s="61"/>
      <c r="AX4" s="61"/>
      <c r="AY4" s="61"/>
      <c r="AZ4" s="61">
        <v>8</v>
      </c>
      <c r="BA4" s="61"/>
      <c r="BB4" s="61"/>
      <c r="BC4" s="61">
        <v>8</v>
      </c>
      <c r="BD4" s="61"/>
      <c r="BE4" s="61"/>
      <c r="BF4" s="61"/>
      <c r="BG4" s="61"/>
      <c r="BH4" s="61"/>
      <c r="BI4" s="61"/>
      <c r="BJ4" s="61"/>
      <c r="BK4" s="61"/>
      <c r="BL4" s="61">
        <v>2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3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76</v>
      </c>
      <c r="CH4" s="61">
        <v>35</v>
      </c>
      <c r="CI4" s="61">
        <v>13</v>
      </c>
      <c r="CJ4" s="61">
        <v>17.5</v>
      </c>
      <c r="CK4" s="61"/>
      <c r="CL4" s="61"/>
      <c r="CM4" s="61">
        <v>1</v>
      </c>
      <c r="CN4" s="61"/>
      <c r="CO4" s="61">
        <v>53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350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</row>
    <row r="5" spans="1:128" ht="15" customHeight="1">
      <c r="A5" s="226"/>
      <c r="B5" s="227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6"/>
      <c r="U5" s="293"/>
      <c r="V5" s="293"/>
      <c r="W5" s="293"/>
      <c r="X5" s="293"/>
      <c r="Y5" s="293"/>
      <c r="Z5" s="293"/>
      <c r="AA5" s="293"/>
      <c r="AB5" s="293"/>
      <c r="AC5" s="293"/>
      <c r="AD5" s="293"/>
      <c r="AE5" s="293"/>
      <c r="AF5" s="306"/>
      <c r="AG5" s="306"/>
      <c r="AH5" s="306"/>
      <c r="AI5" s="306"/>
      <c r="AJ5" s="306"/>
      <c r="AK5" s="306"/>
      <c r="AL5" s="306"/>
      <c r="AM5" s="306"/>
      <c r="AN5" s="306"/>
      <c r="AP5">
        <v>4</v>
      </c>
      <c r="AQ5" s="62" t="s">
        <v>67</v>
      </c>
      <c r="AR5" s="61"/>
      <c r="AS5" s="61"/>
      <c r="AT5" s="61"/>
      <c r="AU5" s="61"/>
      <c r="AV5" s="61"/>
      <c r="AW5" s="61"/>
      <c r="AX5" s="61"/>
      <c r="AY5" s="61"/>
      <c r="AZ5" s="61">
        <v>7</v>
      </c>
      <c r="BA5" s="61"/>
      <c r="BB5" s="61"/>
      <c r="BC5" s="61">
        <v>7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7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46</v>
      </c>
      <c r="CH5" s="61">
        <v>52</v>
      </c>
      <c r="CI5" s="61">
        <v>17</v>
      </c>
      <c r="CJ5" s="61">
        <v>17</v>
      </c>
      <c r="CK5" s="61"/>
      <c r="CL5" s="61"/>
      <c r="CM5" s="61">
        <v>1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350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</row>
    <row r="6" spans="1:128" ht="15" customHeight="1">
      <c r="A6" s="228"/>
      <c r="B6" s="229"/>
      <c r="C6" s="285" t="s">
        <v>190</v>
      </c>
      <c r="D6" s="285"/>
      <c r="E6" s="285"/>
      <c r="F6" s="286">
        <f>AVERAGE(завтракл,обідл,ужинл)</f>
        <v>25</v>
      </c>
      <c r="G6" s="287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6"/>
      <c r="U6" s="293" t="s">
        <v>359</v>
      </c>
      <c r="V6" s="293"/>
      <c r="W6" s="293"/>
      <c r="X6" s="293"/>
      <c r="Y6" s="293"/>
      <c r="Z6" s="293"/>
      <c r="AA6" s="293"/>
      <c r="AB6" s="293"/>
      <c r="AC6" s="293"/>
      <c r="AD6" s="293"/>
      <c r="AE6" s="293"/>
      <c r="AF6" s="6"/>
      <c r="AG6" s="6"/>
      <c r="AH6" s="18"/>
      <c r="AI6" s="6"/>
      <c r="AJ6" s="5"/>
      <c r="AK6" s="17"/>
      <c r="AL6" s="17"/>
      <c r="AP6">
        <v>5</v>
      </c>
      <c r="AQ6" s="62" t="s">
        <v>68</v>
      </c>
      <c r="AR6" s="61"/>
      <c r="AS6" s="61"/>
      <c r="AT6" s="61"/>
      <c r="AU6" s="61"/>
      <c r="AV6" s="61"/>
      <c r="AW6" s="61"/>
      <c r="AX6" s="61"/>
      <c r="AY6" s="61"/>
      <c r="AZ6" s="61">
        <v>7</v>
      </c>
      <c r="BA6" s="61"/>
      <c r="BB6" s="61"/>
      <c r="BC6" s="61">
        <v>7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20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137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350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</row>
    <row r="7" spans="1:128" ht="25.5" customHeight="1">
      <c r="A7" s="230"/>
      <c r="B7" s="231"/>
      <c r="C7" s="285"/>
      <c r="D7" s="285"/>
      <c r="E7" s="285"/>
      <c r="F7" s="288"/>
      <c r="G7" s="289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6"/>
      <c r="U7" s="293"/>
      <c r="V7" s="293"/>
      <c r="W7" s="293"/>
      <c r="X7" s="293"/>
      <c r="Y7" s="293"/>
      <c r="Z7" s="293"/>
      <c r="AA7" s="293"/>
      <c r="AB7" s="293"/>
      <c r="AC7" s="293"/>
      <c r="AD7" s="293"/>
      <c r="AE7" s="293"/>
      <c r="AF7" s="307" t="s">
        <v>360</v>
      </c>
      <c r="AG7" s="307"/>
      <c r="AH7" s="307"/>
      <c r="AI7" s="307"/>
      <c r="AJ7" s="307"/>
      <c r="AK7" s="307"/>
      <c r="AL7" s="307"/>
      <c r="AM7" s="307"/>
      <c r="AN7" s="307"/>
      <c r="AP7">
        <v>6</v>
      </c>
      <c r="AQ7" s="62" t="s">
        <v>69</v>
      </c>
      <c r="AR7" s="61"/>
      <c r="AS7" s="61">
        <v>47</v>
      </c>
      <c r="AT7" s="61"/>
      <c r="AU7" s="61"/>
      <c r="AV7" s="61"/>
      <c r="AW7" s="61"/>
      <c r="AX7" s="61"/>
      <c r="AY7" s="61"/>
      <c r="AZ7" s="61">
        <v>3.5</v>
      </c>
      <c r="BA7" s="61"/>
      <c r="BB7" s="61"/>
      <c r="BC7" s="61">
        <v>3.5</v>
      </c>
      <c r="BD7" s="61"/>
      <c r="BE7" s="61"/>
      <c r="BF7" s="61"/>
      <c r="BG7" s="61"/>
      <c r="BH7" s="61"/>
      <c r="BI7" s="61"/>
      <c r="BJ7" s="61">
        <v>0.1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187</v>
      </c>
      <c r="CH7" s="61"/>
      <c r="CI7" s="61">
        <v>22</v>
      </c>
      <c r="CJ7" s="61">
        <v>17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303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</row>
    <row r="8" spans="1:128" ht="27" customHeight="1">
      <c r="A8" s="230"/>
      <c r="B8" s="231"/>
      <c r="C8" s="285"/>
      <c r="D8" s="285"/>
      <c r="E8" s="285"/>
      <c r="F8" s="290"/>
      <c r="G8" s="291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70</v>
      </c>
      <c r="AR8" s="61"/>
      <c r="AS8" s="61"/>
      <c r="AT8" s="61"/>
      <c r="AU8" s="61"/>
      <c r="AV8" s="61"/>
      <c r="AW8" s="61"/>
      <c r="AX8" s="61"/>
      <c r="AY8" s="61"/>
      <c r="AZ8" s="61">
        <v>7</v>
      </c>
      <c r="BA8" s="61"/>
      <c r="BB8" s="61"/>
      <c r="BC8" s="61">
        <v>7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93</v>
      </c>
      <c r="CH8" s="61">
        <v>35</v>
      </c>
      <c r="CI8" s="61">
        <v>16</v>
      </c>
      <c r="CJ8" s="61">
        <v>17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350</v>
      </c>
      <c r="DF8" s="61"/>
      <c r="DG8" s="61">
        <v>18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</row>
    <row r="9" spans="1:128" ht="12.75" customHeight="1">
      <c r="A9" s="230"/>
      <c r="B9" s="231"/>
      <c r="C9" s="220" t="s">
        <v>191</v>
      </c>
      <c r="D9" s="220"/>
      <c r="E9" s="220"/>
      <c r="F9" s="296"/>
      <c r="G9" s="296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4"/>
      <c r="U9" s="14"/>
      <c r="V9" s="14"/>
      <c r="W9" s="14"/>
      <c r="X9" s="301" t="s">
        <v>214</v>
      </c>
      <c r="Y9" s="301"/>
      <c r="Z9" s="301"/>
      <c r="AA9" s="301"/>
      <c r="AB9" s="301"/>
      <c r="AC9" s="301"/>
      <c r="AD9" s="6"/>
      <c r="AE9" s="302" t="s">
        <v>188</v>
      </c>
      <c r="AF9" s="302"/>
      <c r="AG9" s="302" t="s">
        <v>187</v>
      </c>
      <c r="AH9" s="302"/>
      <c r="AI9" s="302" t="s">
        <v>186</v>
      </c>
      <c r="AJ9" s="302"/>
      <c r="AK9" s="302" t="s">
        <v>185</v>
      </c>
      <c r="AL9" s="302"/>
      <c r="AM9" s="302" t="s">
        <v>184</v>
      </c>
      <c r="AN9" s="302"/>
      <c r="AP9">
        <v>8</v>
      </c>
      <c r="AQ9" s="62" t="s">
        <v>71</v>
      </c>
      <c r="AR9" s="61"/>
      <c r="AS9" s="61"/>
      <c r="AT9" s="61"/>
      <c r="AU9" s="61"/>
      <c r="AV9" s="61"/>
      <c r="AW9" s="61"/>
      <c r="AX9" s="61"/>
      <c r="AY9" s="61"/>
      <c r="AZ9" s="61">
        <v>7</v>
      </c>
      <c r="BA9" s="61"/>
      <c r="BB9" s="61"/>
      <c r="BC9" s="61">
        <v>7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7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140</v>
      </c>
      <c r="CH9" s="61"/>
      <c r="CI9" s="61">
        <v>8</v>
      </c>
      <c r="CJ9" s="61">
        <v>17</v>
      </c>
      <c r="CK9" s="61"/>
      <c r="CL9" s="61">
        <v>23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350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</row>
    <row r="10" spans="1:128" ht="12.75" customHeight="1">
      <c r="A10" s="230"/>
      <c r="B10" s="231"/>
      <c r="C10" s="220"/>
      <c r="D10" s="220"/>
      <c r="E10" s="220"/>
      <c r="F10" s="296"/>
      <c r="G10" s="296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4"/>
      <c r="U10" s="14"/>
      <c r="V10" s="14"/>
      <c r="W10" s="14"/>
      <c r="X10" s="301"/>
      <c r="Y10" s="301"/>
      <c r="Z10" s="301"/>
      <c r="AA10" s="301"/>
      <c r="AB10" s="301"/>
      <c r="AC10" s="301"/>
      <c r="AD10" s="10"/>
      <c r="AE10" s="302"/>
      <c r="AF10" s="302"/>
      <c r="AG10" s="302"/>
      <c r="AH10" s="302"/>
      <c r="AI10" s="302"/>
      <c r="AJ10" s="302"/>
      <c r="AK10" s="302"/>
      <c r="AL10" s="302"/>
      <c r="AM10" s="302"/>
      <c r="AN10" s="302"/>
      <c r="AP10">
        <v>9</v>
      </c>
      <c r="AQ10" s="62" t="s">
        <v>72</v>
      </c>
      <c r="AR10" s="61"/>
      <c r="AS10" s="61"/>
      <c r="AT10" s="61"/>
      <c r="AU10" s="61"/>
      <c r="AV10" s="61"/>
      <c r="AW10" s="61"/>
      <c r="AX10" s="61"/>
      <c r="AY10" s="61"/>
      <c r="AZ10" s="61">
        <v>7</v>
      </c>
      <c r="BA10" s="61"/>
      <c r="BB10" s="61"/>
      <c r="BC10" s="61">
        <v>7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140</v>
      </c>
      <c r="CH10" s="61">
        <v>35</v>
      </c>
      <c r="CI10" s="61">
        <v>17</v>
      </c>
      <c r="CJ10" s="61">
        <v>17</v>
      </c>
      <c r="CK10" s="61"/>
      <c r="CL10" s="61">
        <v>23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350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</row>
    <row r="11" spans="1:128" ht="12.75" customHeight="1">
      <c r="A11" s="230"/>
      <c r="B11" s="231"/>
      <c r="C11" s="220"/>
      <c r="D11" s="220"/>
      <c r="E11" s="220"/>
      <c r="F11" s="296"/>
      <c r="G11" s="296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4"/>
      <c r="U11" s="14"/>
      <c r="V11" s="14"/>
      <c r="W11" s="14"/>
      <c r="X11" s="301"/>
      <c r="Y11" s="301"/>
      <c r="Z11" s="301"/>
      <c r="AA11" s="301"/>
      <c r="AB11" s="301"/>
      <c r="AC11" s="301"/>
      <c r="AD11" s="5"/>
      <c r="AE11" s="302"/>
      <c r="AF11" s="302"/>
      <c r="AG11" s="302"/>
      <c r="AH11" s="302"/>
      <c r="AI11" s="302"/>
      <c r="AJ11" s="302"/>
      <c r="AK11" s="302"/>
      <c r="AL11" s="302"/>
      <c r="AM11" s="302"/>
      <c r="AN11" s="302"/>
      <c r="AP11">
        <v>10</v>
      </c>
      <c r="AQ11" s="62" t="s">
        <v>75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60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125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</row>
    <row r="12" spans="1:128" ht="20.25">
      <c r="A12" s="230"/>
      <c r="B12" s="231"/>
      <c r="C12" s="299"/>
      <c r="D12" s="299"/>
      <c r="E12" s="299"/>
      <c r="F12" s="298"/>
      <c r="G12" s="298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4"/>
      <c r="U12" s="14"/>
      <c r="V12" s="14"/>
      <c r="W12" s="14"/>
      <c r="X12" s="301"/>
      <c r="Y12" s="301"/>
      <c r="Z12" s="301"/>
      <c r="AA12" s="301"/>
      <c r="AB12" s="301"/>
      <c r="AC12" s="301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76</v>
      </c>
      <c r="AR12" s="61"/>
      <c r="AS12" s="61"/>
      <c r="AT12" s="61"/>
      <c r="AU12" s="61"/>
      <c r="AV12" s="61"/>
      <c r="AW12" s="61"/>
      <c r="AX12" s="61"/>
      <c r="AY12" s="61"/>
      <c r="AZ12" s="61">
        <v>10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50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200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</row>
    <row r="13" spans="1:128" ht="36" customHeight="1">
      <c r="A13" s="230"/>
      <c r="B13" s="231"/>
      <c r="C13" s="220" t="s">
        <v>192</v>
      </c>
      <c r="D13" s="220"/>
      <c r="E13" s="220"/>
      <c r="F13" s="296">
        <f>AM181/сред</f>
        <v>94.24881399999998</v>
      </c>
      <c r="G13" s="296"/>
      <c r="H13" s="23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77</v>
      </c>
      <c r="AR13" s="61"/>
      <c r="AS13" s="61"/>
      <c r="AT13" s="61"/>
      <c r="AU13" s="61"/>
      <c r="AV13" s="61"/>
      <c r="AW13" s="61"/>
      <c r="AX13" s="61"/>
      <c r="AY13" s="61"/>
      <c r="AZ13" s="61">
        <v>10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44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200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</row>
    <row r="14" spans="1:128" ht="36" customHeight="1">
      <c r="A14" s="230"/>
      <c r="B14" s="231"/>
      <c r="C14" s="220"/>
      <c r="D14" s="220"/>
      <c r="E14" s="220"/>
      <c r="F14" s="296"/>
      <c r="G14" s="296"/>
      <c r="H14" s="23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78</v>
      </c>
      <c r="AR14" s="61"/>
      <c r="AS14" s="61"/>
      <c r="AT14" s="61"/>
      <c r="AU14" s="61"/>
      <c r="AV14" s="61"/>
      <c r="AW14" s="61"/>
      <c r="AX14" s="61"/>
      <c r="AY14" s="61"/>
      <c r="AZ14" s="61">
        <v>10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200</v>
      </c>
      <c r="DF14" s="61"/>
      <c r="DG14" s="61"/>
      <c r="DH14" s="61"/>
      <c r="DI14" s="61"/>
      <c r="DJ14" s="61">
        <v>44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</row>
    <row r="15" spans="1:128" ht="36" customHeight="1" hidden="1">
      <c r="A15" s="230"/>
      <c r="B15" s="231"/>
      <c r="C15" s="220"/>
      <c r="D15" s="220"/>
      <c r="E15" s="220"/>
      <c r="F15" s="2"/>
      <c r="G15" s="2"/>
      <c r="H15" s="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200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</row>
    <row r="16" spans="1:128" ht="36" customHeight="1" hidden="1">
      <c r="A16" s="232"/>
      <c r="B16" s="233"/>
      <c r="C16" s="220"/>
      <c r="D16" s="220"/>
      <c r="E16" s="220"/>
      <c r="F16" s="2"/>
      <c r="G16" s="2"/>
      <c r="H16" s="3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79</v>
      </c>
      <c r="AR16" s="61"/>
      <c r="AS16" s="61"/>
      <c r="AT16" s="61"/>
      <c r="AU16" s="61"/>
      <c r="AV16" s="61"/>
      <c r="AW16" s="61"/>
      <c r="AX16" s="61"/>
      <c r="AY16" s="61"/>
      <c r="AZ16" s="61">
        <v>10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50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200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</row>
    <row r="17" spans="1:128" ht="24.75" customHeight="1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80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35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35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</row>
    <row r="18" spans="1:128" ht="36" customHeight="1">
      <c r="A18" s="185" t="s">
        <v>178</v>
      </c>
      <c r="B18" s="198"/>
      <c r="C18" s="186"/>
      <c r="D18" s="186"/>
      <c r="E18" s="187"/>
      <c r="F18" s="199" t="s">
        <v>179</v>
      </c>
      <c r="G18" s="294" t="s">
        <v>201</v>
      </c>
      <c r="H18" s="295"/>
      <c r="I18" s="295"/>
      <c r="J18" s="295"/>
      <c r="K18" s="295"/>
      <c r="L18" s="295"/>
      <c r="M18" s="295"/>
      <c r="N18" s="295"/>
      <c r="O18" s="295"/>
      <c r="P18" s="295"/>
      <c r="Q18" s="295"/>
      <c r="R18" s="295"/>
      <c r="S18" s="295"/>
      <c r="T18" s="295"/>
      <c r="U18" s="295"/>
      <c r="V18" s="295"/>
      <c r="W18" s="295"/>
      <c r="X18" s="295"/>
      <c r="Y18" s="295"/>
      <c r="Z18" s="295"/>
      <c r="AA18" s="295"/>
      <c r="AB18" s="295"/>
      <c r="AC18" s="295"/>
      <c r="AD18" s="295"/>
      <c r="AE18" s="295"/>
      <c r="AF18" s="295"/>
      <c r="AG18" s="22"/>
      <c r="AH18" s="194" t="s">
        <v>1</v>
      </c>
      <c r="AI18" s="180" t="s">
        <v>288</v>
      </c>
      <c r="AJ18" s="181"/>
      <c r="AK18" s="185" t="s">
        <v>189</v>
      </c>
      <c r="AL18" s="186"/>
      <c r="AM18" s="186"/>
      <c r="AN18" s="187"/>
      <c r="AP18">
        <v>17</v>
      </c>
      <c r="AQ18" s="62" t="s">
        <v>10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35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35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</row>
    <row r="19" spans="1:128" ht="19.5" customHeight="1">
      <c r="A19" s="202" t="s">
        <v>177</v>
      </c>
      <c r="B19" s="203"/>
      <c r="C19" s="203"/>
      <c r="D19" s="203"/>
      <c r="E19" s="204"/>
      <c r="F19" s="200"/>
      <c r="G19" s="214" t="s">
        <v>173</v>
      </c>
      <c r="H19" s="215"/>
      <c r="I19" s="215"/>
      <c r="J19" s="215"/>
      <c r="K19" s="215"/>
      <c r="L19" s="215"/>
      <c r="M19" s="215"/>
      <c r="N19" s="216"/>
      <c r="O19" s="214" t="s">
        <v>174</v>
      </c>
      <c r="P19" s="215"/>
      <c r="Q19" s="215"/>
      <c r="R19" s="215"/>
      <c r="S19" s="215"/>
      <c r="T19" s="215"/>
      <c r="U19" s="215"/>
      <c r="V19" s="216"/>
      <c r="W19" s="297" t="s">
        <v>175</v>
      </c>
      <c r="X19" s="297"/>
      <c r="Y19" s="297"/>
      <c r="Z19" s="215" t="s">
        <v>176</v>
      </c>
      <c r="AA19" s="215"/>
      <c r="AB19" s="215"/>
      <c r="AC19" s="215"/>
      <c r="AD19" s="215"/>
      <c r="AE19" s="215"/>
      <c r="AF19" s="215"/>
      <c r="AG19" s="215"/>
      <c r="AH19" s="195"/>
      <c r="AI19" s="182"/>
      <c r="AJ19" s="183"/>
      <c r="AK19" s="188" t="s">
        <v>6</v>
      </c>
      <c r="AL19" s="189"/>
      <c r="AM19" s="189"/>
      <c r="AN19" s="190"/>
      <c r="AP19">
        <v>18</v>
      </c>
      <c r="AQ19" s="62" t="s">
        <v>81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>
        <v>110</v>
      </c>
      <c r="CL19" s="61">
        <v>100</v>
      </c>
      <c r="CM19" s="61"/>
      <c r="CN19" s="61">
        <v>100</v>
      </c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</row>
    <row r="20" spans="1:128" ht="19.5" customHeight="1">
      <c r="A20" s="205"/>
      <c r="B20" s="206"/>
      <c r="C20" s="206"/>
      <c r="D20" s="206"/>
      <c r="E20" s="207"/>
      <c r="F20" s="200"/>
      <c r="G20" s="217"/>
      <c r="H20" s="218"/>
      <c r="I20" s="218"/>
      <c r="J20" s="218"/>
      <c r="K20" s="218"/>
      <c r="L20" s="218"/>
      <c r="M20" s="218"/>
      <c r="N20" s="219"/>
      <c r="O20" s="217"/>
      <c r="P20" s="218"/>
      <c r="Q20" s="218"/>
      <c r="R20" s="218"/>
      <c r="S20" s="218"/>
      <c r="T20" s="218"/>
      <c r="U20" s="218"/>
      <c r="V20" s="219"/>
      <c r="W20" s="297"/>
      <c r="X20" s="297"/>
      <c r="Y20" s="297"/>
      <c r="Z20" s="218"/>
      <c r="AA20" s="218"/>
      <c r="AB20" s="218"/>
      <c r="AC20" s="218"/>
      <c r="AD20" s="218"/>
      <c r="AE20" s="218"/>
      <c r="AF20" s="218"/>
      <c r="AG20" s="218"/>
      <c r="AH20" s="195"/>
      <c r="AI20" s="182"/>
      <c r="AJ20" s="183"/>
      <c r="AK20" s="191"/>
      <c r="AL20" s="192"/>
      <c r="AM20" s="192"/>
      <c r="AN20" s="193"/>
      <c r="AP20">
        <v>19</v>
      </c>
      <c r="AQ20" s="62" t="s">
        <v>83</v>
      </c>
      <c r="AR20" s="61"/>
      <c r="AS20" s="61"/>
      <c r="AT20" s="61"/>
      <c r="AU20" s="61"/>
      <c r="AV20" s="61"/>
      <c r="AW20" s="61"/>
      <c r="AX20" s="61"/>
      <c r="AY20" s="61"/>
      <c r="AZ20" s="61">
        <v>6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276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200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</row>
    <row r="21" spans="1:128" ht="280.5" customHeight="1">
      <c r="A21" s="208"/>
      <c r="B21" s="209"/>
      <c r="C21" s="209"/>
      <c r="D21" s="209"/>
      <c r="E21" s="210"/>
      <c r="F21" s="201"/>
      <c r="G21" s="111" t="s">
        <v>127</v>
      </c>
      <c r="H21" s="112" t="s">
        <v>98</v>
      </c>
      <c r="I21" s="112" t="s">
        <v>165</v>
      </c>
      <c r="J21" s="113" t="s">
        <v>166</v>
      </c>
      <c r="K21" s="66" t="s">
        <v>11</v>
      </c>
      <c r="L21" s="66" t="s">
        <v>93</v>
      </c>
      <c r="M21" s="66" t="s">
        <v>106</v>
      </c>
      <c r="N21" s="75"/>
      <c r="O21" s="67" t="s">
        <v>66</v>
      </c>
      <c r="P21" s="66" t="s">
        <v>162</v>
      </c>
      <c r="Q21" s="67" t="s">
        <v>227</v>
      </c>
      <c r="R21" s="66" t="s">
        <v>108</v>
      </c>
      <c r="S21" s="66" t="s">
        <v>11</v>
      </c>
      <c r="T21" s="66"/>
      <c r="U21" s="66"/>
      <c r="V21" s="66"/>
      <c r="W21" s="66" t="s">
        <v>246</v>
      </c>
      <c r="X21" s="66" t="s">
        <v>358</v>
      </c>
      <c r="Y21" s="75"/>
      <c r="Z21" s="67" t="s">
        <v>315</v>
      </c>
      <c r="AA21" s="66" t="s">
        <v>114</v>
      </c>
      <c r="AB21" s="66" t="s">
        <v>85</v>
      </c>
      <c r="AC21" s="66" t="s">
        <v>80</v>
      </c>
      <c r="AD21" s="66" t="s">
        <v>11</v>
      </c>
      <c r="AE21" s="66" t="s">
        <v>110</v>
      </c>
      <c r="AF21" s="66"/>
      <c r="AG21" s="75"/>
      <c r="AH21" s="148"/>
      <c r="AI21" s="176"/>
      <c r="AJ21" s="184"/>
      <c r="AK21" s="176" t="s">
        <v>289</v>
      </c>
      <c r="AL21" s="177"/>
      <c r="AM21" s="103" t="s">
        <v>290</v>
      </c>
      <c r="AN21" s="104" t="s">
        <v>291</v>
      </c>
      <c r="AP21">
        <v>20</v>
      </c>
      <c r="AQ21" s="62" t="s">
        <v>84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10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240</v>
      </c>
      <c r="CH21" s="61"/>
      <c r="CI21" s="61">
        <v>20</v>
      </c>
      <c r="CJ21" s="61"/>
      <c r="CK21" s="61"/>
      <c r="CL21" s="61"/>
      <c r="CM21" s="61">
        <v>1.5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200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</row>
    <row r="22" spans="1:128" ht="24" customHeight="1">
      <c r="A22" s="175">
        <v>1</v>
      </c>
      <c r="B22" s="175"/>
      <c r="C22" s="175"/>
      <c r="D22" s="175"/>
      <c r="E22" s="175"/>
      <c r="F22" s="63">
        <v>2</v>
      </c>
      <c r="G22" s="87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68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76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76">
        <v>29</v>
      </c>
      <c r="AH22" s="105">
        <v>30</v>
      </c>
      <c r="AI22" s="178">
        <v>31</v>
      </c>
      <c r="AJ22" s="179"/>
      <c r="AK22" s="175">
        <v>32</v>
      </c>
      <c r="AL22" s="175"/>
      <c r="AM22" s="106">
        <v>33</v>
      </c>
      <c r="AN22" s="107">
        <v>34</v>
      </c>
      <c r="AP22">
        <v>21</v>
      </c>
      <c r="AQ22" s="62" t="s">
        <v>85</v>
      </c>
      <c r="AR22" s="61"/>
      <c r="AS22" s="61"/>
      <c r="AT22" s="61"/>
      <c r="AU22" s="61"/>
      <c r="AV22" s="61"/>
      <c r="AW22" s="61"/>
      <c r="AX22" s="61"/>
      <c r="AY22" s="61"/>
      <c r="AZ22" s="61">
        <v>7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36</v>
      </c>
      <c r="CJ22" s="61"/>
      <c r="CK22" s="61"/>
      <c r="CL22" s="61"/>
      <c r="CM22" s="61"/>
      <c r="CN22" s="61"/>
      <c r="CO22" s="61">
        <v>160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150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</row>
    <row r="23" spans="1:128" ht="20.25">
      <c r="A23" s="211" t="s">
        <v>180</v>
      </c>
      <c r="B23" s="211"/>
      <c r="C23" s="211"/>
      <c r="D23" s="211"/>
      <c r="E23" s="211"/>
      <c r="F23" s="65" t="s">
        <v>1</v>
      </c>
      <c r="G23" s="88">
        <v>25</v>
      </c>
      <c r="H23" s="20">
        <f>G23</f>
        <v>25</v>
      </c>
      <c r="I23" s="20">
        <f>G23</f>
        <v>25</v>
      </c>
      <c r="J23" s="20">
        <f>G23</f>
        <v>25</v>
      </c>
      <c r="K23" s="20">
        <f>G23</f>
        <v>25</v>
      </c>
      <c r="L23" s="20">
        <f>G23</f>
        <v>25</v>
      </c>
      <c r="M23" s="20">
        <f>G23</f>
        <v>25</v>
      </c>
      <c r="N23" s="69">
        <f>G23</f>
        <v>25</v>
      </c>
      <c r="O23" s="21">
        <v>25</v>
      </c>
      <c r="P23" s="20">
        <f aca="true" t="shared" si="0" ref="P23:V23">O23</f>
        <v>25</v>
      </c>
      <c r="Q23" s="21">
        <f t="shared" si="0"/>
        <v>25</v>
      </c>
      <c r="R23" s="20">
        <f t="shared" si="0"/>
        <v>25</v>
      </c>
      <c r="S23" s="20">
        <f t="shared" si="0"/>
        <v>25</v>
      </c>
      <c r="T23" s="20">
        <f t="shared" si="0"/>
        <v>25</v>
      </c>
      <c r="U23" s="20">
        <f t="shared" si="0"/>
        <v>25</v>
      </c>
      <c r="V23" s="20">
        <f t="shared" si="0"/>
        <v>25</v>
      </c>
      <c r="W23" s="20">
        <v>25</v>
      </c>
      <c r="X23" s="20">
        <f>W23</f>
        <v>25</v>
      </c>
      <c r="Y23" s="69">
        <f>X23</f>
        <v>25</v>
      </c>
      <c r="Z23" s="21">
        <v>25</v>
      </c>
      <c r="AA23" s="20">
        <f>Z23</f>
        <v>25</v>
      </c>
      <c r="AB23" s="20">
        <f aca="true" t="shared" si="1" ref="AB23:AG23">AA23</f>
        <v>25</v>
      </c>
      <c r="AC23" s="20">
        <f t="shared" si="1"/>
        <v>25</v>
      </c>
      <c r="AD23" s="20">
        <f t="shared" si="1"/>
        <v>25</v>
      </c>
      <c r="AE23" s="20">
        <f t="shared" si="1"/>
        <v>25</v>
      </c>
      <c r="AF23" s="20">
        <f t="shared" si="1"/>
        <v>25</v>
      </c>
      <c r="AG23" s="69">
        <f t="shared" si="1"/>
        <v>25</v>
      </c>
      <c r="AH23" s="3"/>
      <c r="AI23" s="155"/>
      <c r="AJ23" s="155"/>
      <c r="AK23" s="130"/>
      <c r="AL23" s="130"/>
      <c r="AM23" s="2"/>
      <c r="AN23" s="3"/>
      <c r="AP23">
        <v>22</v>
      </c>
      <c r="AQ23" s="62" t="s">
        <v>86</v>
      </c>
      <c r="AR23" s="61"/>
      <c r="AS23" s="61"/>
      <c r="AT23" s="61"/>
      <c r="AU23" s="61"/>
      <c r="AV23" s="61"/>
      <c r="AW23" s="61"/>
      <c r="AX23" s="61"/>
      <c r="AY23" s="61"/>
      <c r="AZ23" s="61">
        <v>4.5</v>
      </c>
      <c r="BA23" s="61"/>
      <c r="BB23" s="61"/>
      <c r="BC23" s="61"/>
      <c r="BD23" s="61"/>
      <c r="BE23" s="61"/>
      <c r="BF23" s="61"/>
      <c r="BG23" s="61">
        <v>7</v>
      </c>
      <c r="BH23" s="61"/>
      <c r="BI23" s="61"/>
      <c r="BJ23" s="61"/>
      <c r="BK23" s="61"/>
      <c r="BL23" s="61">
        <v>2.2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3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167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154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</row>
    <row r="24" spans="1:128" ht="26.25" customHeight="1">
      <c r="A24" s="212" t="s">
        <v>181</v>
      </c>
      <c r="B24" s="212"/>
      <c r="C24" s="212"/>
      <c r="D24" s="212"/>
      <c r="E24" s="213"/>
      <c r="F24" s="64" t="s">
        <v>1</v>
      </c>
      <c r="G24" s="89">
        <f>IF(завтрак1="хліб житній",DS2,(IF(завтрак1="хліб пшеничний",DR2,(VLOOKUP(завтрак1,таб,67,FALSE)))))</f>
        <v>300</v>
      </c>
      <c r="H24" s="41" t="str">
        <f>IF(завтрак2="хліб житній",DS2,(IF(завтрак2="хліб пшеничний",DR2,(VLOOKUP(завтрак2,таб,67,FALSE)))))</f>
        <v>1шт</v>
      </c>
      <c r="I24" s="41">
        <f>IF(завтрак3="хліб житній",DS2,(IF(завтрак3="хліб пшеничний",DR2,(VLOOKUP(завтрак3,таб,67,FALSE)))))</f>
        <v>20</v>
      </c>
      <c r="J24" s="41">
        <f>IF(завтрак4="хліб житній",DS2,(IF(завтрак4="хліб пшеничний",DR2,(VLOOKUP(завтрак4,таб,67,FALSE)))))</f>
        <v>20</v>
      </c>
      <c r="K24" s="41">
        <v>100</v>
      </c>
      <c r="L24" s="41">
        <f>IF(завтрак6="хліб житній",DS2,(IF(завтрак6="хліб пшеничний",DR2,(VLOOKUP(завтрак6,таб,67,FALSE)))))</f>
        <v>200</v>
      </c>
      <c r="M24" s="41">
        <f>IF(завтрак7="хліб житній",DS2,(IF(завтрак7="хліб пшеничний",DR2,(VLOOKUP(завтрак7,таб,67,FALSE)))))</f>
        <v>300</v>
      </c>
      <c r="N24" s="70">
        <f>IF(завтрак8="хліб житній",DS2,(IF(завтрак8="хліб пшеничний",DR2,(VLOOKUP(завтрак8,таб,67,FALSE)))))</f>
        <v>0</v>
      </c>
      <c r="O24" s="102">
        <f>IF(обед1="хліб житній",DU2,(IF(обед1="хліб пшеничний",DT2,(VLOOKUP(обед1,таб,67,FALSE)))))</f>
        <v>350</v>
      </c>
      <c r="P24" s="40">
        <f>IF(обед2="хліб житній",DU2,(IF(обед2="хліб пшеничний",DT2,(VLOOKUP(обед2,таб,67,FALSE)))))</f>
        <v>300</v>
      </c>
      <c r="Q24" s="40">
        <f>IF(обед3="хліб житній",DU2,(IF(обед3="хліб пшеничний",DT2,(VLOOKUP(обед3,таб,67,FALSE)))))</f>
        <v>100</v>
      </c>
      <c r="R24" s="40">
        <f>IF(обед4="хліб житній",DU2,(IF(обед4="хліб пшеничний",DT2,(VLOOKUP(обед4,таб,67,FALSE)))))</f>
        <v>200</v>
      </c>
      <c r="S24" s="40">
        <v>180</v>
      </c>
      <c r="T24" s="40">
        <f>IF(обед6="хліб житній",DU2,(IF(обед6="хліб пшеничний",DT2,(VLOOKUP(обед6,таб,67,FALSE)))))</f>
        <v>0</v>
      </c>
      <c r="U24" s="40">
        <f>IF(обед7="хліб житній",DU2,(IF(обед7="хліб пшеничний",DT2,(VLOOKUP(обед7,таб,67,FALSE)))))</f>
        <v>0</v>
      </c>
      <c r="V24" s="40">
        <f>IF(обед8="хліб житній",DU2,(IF(обед8="хліб пшеничний",DT2,(VLOOKUP(обед8,таб,67,FALSE)))))</f>
        <v>0</v>
      </c>
      <c r="W24" s="40" t="str">
        <f>VLOOKUP(полдник1,таб,67,FALSE)</f>
        <v>150/25</v>
      </c>
      <c r="X24" s="40">
        <f>VLOOKUP(полдник2,таб,67,FALSE)</f>
        <v>200</v>
      </c>
      <c r="Y24" s="70">
        <f>VLOOKUP(полдник3,таб,67,FALSE)</f>
        <v>0</v>
      </c>
      <c r="Z24" s="41" t="str">
        <f>IF(ужин1="хліб житній",DW2,(IF(ужин1="хліб пшеничний",DV2,(VLOOKUP(ужин1,таб,67,FALSE)))))</f>
        <v>200/7</v>
      </c>
      <c r="AA24" s="40">
        <f>IF(ужин2="хліб житній",DW2,(IF(ужин2="хліб пшеничний",DV2,(VLOOKUP(ужин2,таб,67,FALSE)))))</f>
        <v>150</v>
      </c>
      <c r="AB24" s="40">
        <f>IF(ужин3="хліб житній",DW2,(IF(ужин3="хліб пшеничний",DV2,(VLOOKUP(ужин3,таб,67,FALSE)))))</f>
        <v>150</v>
      </c>
      <c r="AC24" s="40">
        <f>IF(ужин4="хліб житній",DW2,(IF(ужин4="хліб пшеничний",DV2,(VLOOKUP(ужин4,таб,67,FALSE)))))</f>
        <v>35</v>
      </c>
      <c r="AD24" s="40">
        <v>130</v>
      </c>
      <c r="AE24" s="40">
        <f>IF(ужин6="хліб житній",DW2,(IF(ужин6="хліб пшеничний",DV2,(VLOOKUP(ужин6,таб,67,FALSE)))))</f>
        <v>200</v>
      </c>
      <c r="AF24" s="40">
        <f>IF(ужин7="хліб житній",DW2,(IF(ужин7="хліб пшеничний",DV2,(VLOOKUP(ужин7,таб,67,FALSE)))))</f>
        <v>0</v>
      </c>
      <c r="AG24" s="70">
        <f>IF(ужин8="хліб житній",DW2,(IF(ужин8="хліб пшеничний",DV2,(VLOOKUP(ужин8,таб,67,FALSE)))))</f>
        <v>0</v>
      </c>
      <c r="AH24" s="81"/>
      <c r="AI24" s="292"/>
      <c r="AJ24" s="292"/>
      <c r="AK24" s="130"/>
      <c r="AL24" s="130"/>
      <c r="AM24" s="2"/>
      <c r="AN24" s="3"/>
      <c r="AP24">
        <v>23</v>
      </c>
      <c r="AQ24" s="62" t="s">
        <v>240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25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36</v>
      </c>
      <c r="CJ24" s="61"/>
      <c r="CK24" s="61"/>
      <c r="CL24" s="61"/>
      <c r="CM24" s="61"/>
      <c r="CN24" s="61"/>
      <c r="CO24" s="61">
        <v>160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294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</row>
    <row r="25" spans="1:128" ht="34.5" customHeight="1">
      <c r="A25" s="196" t="s">
        <v>13</v>
      </c>
      <c r="B25" s="196"/>
      <c r="C25" s="196"/>
      <c r="D25" s="196"/>
      <c r="E25" s="197"/>
      <c r="F25" s="82" t="s">
        <v>197</v>
      </c>
      <c r="G25" s="90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>
        <f>VLOOKUP(завтрак7,таб,2,FALSE)</f>
        <v>0</v>
      </c>
      <c r="N25" s="71">
        <f>VLOOKUP(завтрак8,таб,2,FALSE)</f>
        <v>0</v>
      </c>
      <c r="O25" s="30">
        <f>VLOOKUP(обед1,таб,2,FALSE)</f>
        <v>0</v>
      </c>
      <c r="P25" s="28">
        <f>VLOOKUP(обед2,таб,2,FALSE)</f>
        <v>0</v>
      </c>
      <c r="Q25" s="29">
        <f>VLOOKUP(обед3,таб,2,FALSE)</f>
        <v>0</v>
      </c>
      <c r="R25" s="28">
        <f>VLOOKUP(обед4,таб,2,FALSE)</f>
        <v>0</v>
      </c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71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>
        <f>VLOOKUP(ужин3,таб,2,FALSE)</f>
        <v>0</v>
      </c>
      <c r="AC25" s="29">
        <f>VLOOKUP(ужин4,таб,2,FALSE)</f>
        <v>0</v>
      </c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71">
        <f>VLOOKUP(ужин8,таб,2,FALSE)</f>
        <v>0</v>
      </c>
      <c r="AH25" s="162">
        <v>610001</v>
      </c>
      <c r="AI25" s="173">
        <f>AK25/сред</f>
        <v>0</v>
      </c>
      <c r="AJ25" s="174"/>
      <c r="AK25" s="165">
        <f>SUM(G26:AG26)</f>
        <v>0</v>
      </c>
      <c r="AL25" s="166"/>
      <c r="AM25" s="158">
        <f>IF(AK25=0,0,AR117)</f>
        <v>0</v>
      </c>
      <c r="AN25" s="160">
        <f>AK25*AM25</f>
        <v>0</v>
      </c>
      <c r="AP25">
        <v>24</v>
      </c>
      <c r="AQ25" s="62" t="s">
        <v>87</v>
      </c>
      <c r="AR25" s="61"/>
      <c r="AS25" s="61"/>
      <c r="AT25" s="61"/>
      <c r="AU25" s="61"/>
      <c r="AV25" s="61"/>
      <c r="AW25" s="61"/>
      <c r="AX25" s="61"/>
      <c r="AY25" s="61"/>
      <c r="AZ25" s="61">
        <v>6</v>
      </c>
      <c r="BA25" s="61"/>
      <c r="BB25" s="61"/>
      <c r="BC25" s="61">
        <v>6</v>
      </c>
      <c r="BD25" s="61"/>
      <c r="BE25" s="61"/>
      <c r="BF25" s="61"/>
      <c r="BG25" s="61"/>
      <c r="BH25" s="61"/>
      <c r="BI25" s="61"/>
      <c r="BJ25" s="61"/>
      <c r="BK25" s="61"/>
      <c r="BL25" s="61">
        <v>2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6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296</v>
      </c>
      <c r="CI25" s="61">
        <v>10</v>
      </c>
      <c r="CJ25" s="61">
        <v>6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200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</row>
    <row r="26" spans="1:128" ht="34.5" customHeight="1">
      <c r="A26" s="196"/>
      <c r="B26" s="196"/>
      <c r="C26" s="196"/>
      <c r="D26" s="196"/>
      <c r="E26" s="197"/>
      <c r="F26" s="83" t="s">
        <v>198</v>
      </c>
      <c r="G26" s="91">
        <f aca="true" t="shared" si="2" ref="G26:N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>
        <f t="shared" si="2"/>
      </c>
      <c r="N26" s="72">
        <f t="shared" si="2"/>
      </c>
      <c r="O26" s="48">
        <f aca="true" t="shared" si="3" ref="O26:T26">IF(O25=0,"",обідл*O25/1000)</f>
      </c>
      <c r="P26" s="46">
        <f t="shared" si="3"/>
      </c>
      <c r="Q26" s="47">
        <f t="shared" si="3"/>
      </c>
      <c r="R26" s="46">
        <f t="shared" si="3"/>
      </c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72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>
        <f t="shared" si="4"/>
      </c>
      <c r="AC26" s="47">
        <f t="shared" si="4"/>
      </c>
      <c r="AD26" s="46">
        <f t="shared" si="4"/>
      </c>
      <c r="AE26" s="47">
        <f t="shared" si="4"/>
      </c>
      <c r="AF26" s="46">
        <f t="shared" si="4"/>
      </c>
      <c r="AG26" s="72">
        <f t="shared" si="4"/>
      </c>
      <c r="AH26" s="163"/>
      <c r="AI26" s="173"/>
      <c r="AJ26" s="174"/>
      <c r="AK26" s="167"/>
      <c r="AL26" s="168"/>
      <c r="AM26" s="159"/>
      <c r="AN26" s="161"/>
      <c r="AP26">
        <v>25</v>
      </c>
      <c r="AQ26" s="62" t="s">
        <v>88</v>
      </c>
      <c r="AR26" s="61"/>
      <c r="AS26" s="61"/>
      <c r="AT26" s="61"/>
      <c r="AU26" s="61"/>
      <c r="AV26" s="61"/>
      <c r="AW26" s="61"/>
      <c r="AX26" s="61"/>
      <c r="AY26" s="61"/>
      <c r="AZ26" s="61">
        <v>4.5</v>
      </c>
      <c r="BA26" s="61"/>
      <c r="BB26" s="61"/>
      <c r="BC26" s="61">
        <v>6.7</v>
      </c>
      <c r="BD26" s="61"/>
      <c r="BE26" s="61"/>
      <c r="BF26" s="61"/>
      <c r="BG26" s="61"/>
      <c r="BH26" s="61"/>
      <c r="BI26" s="61"/>
      <c r="BJ26" s="61"/>
      <c r="BK26" s="61"/>
      <c r="BL26" s="61">
        <v>3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1.5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138</v>
      </c>
      <c r="CH26" s="61">
        <v>146</v>
      </c>
      <c r="CI26" s="61">
        <v>10</v>
      </c>
      <c r="CJ26" s="61">
        <v>4.5</v>
      </c>
      <c r="CK26" s="61"/>
      <c r="CL26" s="61"/>
      <c r="CM26" s="61">
        <v>1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200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</row>
    <row r="27" spans="1:128" ht="34.5" customHeight="1">
      <c r="A27" s="196" t="s">
        <v>3</v>
      </c>
      <c r="B27" s="196"/>
      <c r="C27" s="196"/>
      <c r="D27" s="196"/>
      <c r="E27" s="197"/>
      <c r="F27" s="82" t="s">
        <v>197</v>
      </c>
      <c r="G27" s="90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>
        <f>VLOOKUP(завтрак7,таб,3,FALSE)</f>
        <v>0</v>
      </c>
      <c r="N27" s="71">
        <f>VLOOKUP(завтрак8,таб,3,FALSE)</f>
        <v>0</v>
      </c>
      <c r="O27" s="30">
        <f>VLOOKUP(обед1,таб,3,FALSE)</f>
        <v>0</v>
      </c>
      <c r="P27" s="28">
        <f>VLOOKUP(обед2,таб,3,FALSE)</f>
        <v>150</v>
      </c>
      <c r="Q27" s="29">
        <f>VLOOKUP(обед3,таб,3,FALSE)</f>
        <v>0</v>
      </c>
      <c r="R27" s="28">
        <f>VLOOKUP(обед4,таб,3,FALSE)</f>
        <v>0</v>
      </c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71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>
        <f>VLOOKUP(ужин3,таб,3,FALSE)</f>
        <v>0</v>
      </c>
      <c r="AC27" s="29">
        <f>VLOOKUP(ужин4,таб,3,FALSE)</f>
        <v>0</v>
      </c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71">
        <f>VLOOKUP(ужин8,таб,3,FALSE)</f>
        <v>0</v>
      </c>
      <c r="AH27" s="162">
        <v>610002</v>
      </c>
      <c r="AI27" s="173">
        <f>AK27/сред</f>
        <v>0.15</v>
      </c>
      <c r="AJ27" s="174"/>
      <c r="AK27" s="165">
        <f>SUM(G28:AG28)</f>
        <v>3.75</v>
      </c>
      <c r="AL27" s="166"/>
      <c r="AM27" s="158">
        <f>IF(AK27=0,0,AS117)</f>
        <v>117.5</v>
      </c>
      <c r="AN27" s="160">
        <f>AK27*AM27</f>
        <v>440.625</v>
      </c>
      <c r="AP27">
        <v>26</v>
      </c>
      <c r="AQ27" s="62" t="s">
        <v>89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10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15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141</v>
      </c>
      <c r="CH27" s="61">
        <v>147</v>
      </c>
      <c r="CI27" s="61">
        <v>30</v>
      </c>
      <c r="CJ27" s="61">
        <v>27</v>
      </c>
      <c r="CK27" s="61"/>
      <c r="CL27" s="61"/>
      <c r="CM27" s="61">
        <v>1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300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</row>
    <row r="28" spans="1:128" ht="34.5" customHeight="1">
      <c r="A28" s="196"/>
      <c r="B28" s="196"/>
      <c r="C28" s="196"/>
      <c r="D28" s="196"/>
      <c r="E28" s="197"/>
      <c r="F28" s="83" t="s">
        <v>198</v>
      </c>
      <c r="G28" s="91">
        <f aca="true" t="shared" si="5" ref="G28:N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>
        <f t="shared" si="5"/>
      </c>
      <c r="N28" s="72">
        <f t="shared" si="5"/>
      </c>
      <c r="O28" s="48">
        <f aca="true" t="shared" si="6" ref="O28:T28">IF(O27=0,"",обідл*O27/1000)</f>
      </c>
      <c r="P28" s="46">
        <f t="shared" si="6"/>
        <v>3.75</v>
      </c>
      <c r="Q28" s="47">
        <f t="shared" si="6"/>
      </c>
      <c r="R28" s="46">
        <f t="shared" si="6"/>
      </c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72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>
        <f t="shared" si="7"/>
      </c>
      <c r="AC28" s="47">
        <f t="shared" si="7"/>
      </c>
      <c r="AD28" s="46">
        <f t="shared" si="7"/>
      </c>
      <c r="AE28" s="47">
        <f t="shared" si="7"/>
      </c>
      <c r="AF28" s="46">
        <f t="shared" si="7"/>
      </c>
      <c r="AG28" s="72">
        <f t="shared" si="7"/>
      </c>
      <c r="AH28" s="163"/>
      <c r="AI28" s="173"/>
      <c r="AJ28" s="174"/>
      <c r="AK28" s="167"/>
      <c r="AL28" s="168"/>
      <c r="AM28" s="159"/>
      <c r="AN28" s="161"/>
      <c r="AP28">
        <v>27</v>
      </c>
      <c r="AQ28" s="62" t="s">
        <v>245</v>
      </c>
      <c r="AR28" s="61"/>
      <c r="AS28" s="61"/>
      <c r="AT28" s="61"/>
      <c r="AU28" s="61"/>
      <c r="AV28" s="61"/>
      <c r="AW28" s="61"/>
      <c r="AX28" s="61"/>
      <c r="AY28" s="61"/>
      <c r="AZ28" s="61">
        <v>4.5</v>
      </c>
      <c r="BA28" s="61"/>
      <c r="BB28" s="61"/>
      <c r="BC28" s="61"/>
      <c r="BD28" s="61"/>
      <c r="BE28" s="61"/>
      <c r="BF28" s="61"/>
      <c r="BG28" s="61">
        <v>25</v>
      </c>
      <c r="BH28" s="61"/>
      <c r="BI28" s="61"/>
      <c r="BJ28" s="61"/>
      <c r="BK28" s="61"/>
      <c r="BL28" s="61">
        <v>2.2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136.5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150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</row>
    <row r="29" spans="1:128" ht="34.5" customHeight="1">
      <c r="A29" s="237" t="s">
        <v>14</v>
      </c>
      <c r="B29" s="237"/>
      <c r="C29" s="237"/>
      <c r="D29" s="237"/>
      <c r="E29" s="238"/>
      <c r="F29" s="82" t="s">
        <v>197</v>
      </c>
      <c r="G29" s="90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>
        <f>VLOOKUP(завтрак7,таб,4,FALSE)</f>
        <v>0</v>
      </c>
      <c r="N29" s="71">
        <f>VLOOKUP(завтрак8,таб,4,FALSE)</f>
        <v>0</v>
      </c>
      <c r="O29" s="30">
        <f>VLOOKUP(обед1,таб,4,FALSE)</f>
        <v>0</v>
      </c>
      <c r="P29" s="28">
        <f>VLOOKUP(обед2,таб,4,FALSE)</f>
        <v>0</v>
      </c>
      <c r="Q29" s="29">
        <f>VLOOKUP(обед3,таб,4,FALSE)</f>
        <v>0</v>
      </c>
      <c r="R29" s="28">
        <f>VLOOKUP(обед4,таб,4,FALSE)</f>
        <v>0</v>
      </c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71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>
        <f>VLOOKUP(ужин3,таб,4,FALSE)</f>
        <v>0</v>
      </c>
      <c r="AC29" s="29">
        <f>VLOOKUP(ужин4,таб,4,FALSE)</f>
        <v>0</v>
      </c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71">
        <f>VLOOKUP(ужин8,таб,4,FALSE)</f>
        <v>0</v>
      </c>
      <c r="AH29" s="162">
        <v>610009</v>
      </c>
      <c r="AI29" s="173">
        <f>AK29/сред</f>
        <v>0</v>
      </c>
      <c r="AJ29" s="174"/>
      <c r="AK29" s="165">
        <f>SUM(G30:AG30)</f>
        <v>0</v>
      </c>
      <c r="AL29" s="166"/>
      <c r="AM29" s="158">
        <f>IF(AK29=0,0,AT117)</f>
        <v>0</v>
      </c>
      <c r="AN29" s="160">
        <f>AK29*AM29</f>
        <v>0</v>
      </c>
      <c r="AP29">
        <v>28</v>
      </c>
      <c r="AQ29" s="62" t="s">
        <v>90</v>
      </c>
      <c r="AR29" s="61"/>
      <c r="AS29" s="61"/>
      <c r="AT29" s="61"/>
      <c r="AU29" s="61"/>
      <c r="AV29" s="61"/>
      <c r="AW29" s="61"/>
      <c r="AX29" s="61"/>
      <c r="AY29" s="61"/>
      <c r="AZ29" s="61">
        <v>4.5</v>
      </c>
      <c r="BA29" s="61"/>
      <c r="BB29" s="61"/>
      <c r="BC29" s="61"/>
      <c r="BD29" s="61"/>
      <c r="BE29" s="61"/>
      <c r="BF29" s="61"/>
      <c r="BG29" s="61">
        <v>7.5</v>
      </c>
      <c r="BH29" s="61"/>
      <c r="BI29" s="61"/>
      <c r="BJ29" s="61"/>
      <c r="BK29" s="61"/>
      <c r="BL29" s="61">
        <v>2.2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37.5</v>
      </c>
      <c r="CI29" s="61"/>
      <c r="CJ29" s="61">
        <v>97.5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150</v>
      </c>
      <c r="DF29" s="61"/>
      <c r="DG29" s="61">
        <v>22.5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</row>
    <row r="30" spans="1:128" ht="34.5" customHeight="1">
      <c r="A30" s="196"/>
      <c r="B30" s="196"/>
      <c r="C30" s="196"/>
      <c r="D30" s="196"/>
      <c r="E30" s="197"/>
      <c r="F30" s="83" t="s">
        <v>198</v>
      </c>
      <c r="G30" s="91">
        <f aca="true" t="shared" si="8" ref="G30:N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>
        <f t="shared" si="8"/>
      </c>
      <c r="N30" s="72">
        <f t="shared" si="8"/>
      </c>
      <c r="O30" s="48">
        <f aca="true" t="shared" si="9" ref="O30:T30">IF(O29=0,"",обідл*O29/1000)</f>
      </c>
      <c r="P30" s="46">
        <f t="shared" si="9"/>
      </c>
      <c r="Q30" s="47">
        <f t="shared" si="9"/>
      </c>
      <c r="R30" s="46">
        <f t="shared" si="9"/>
      </c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72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>
        <f t="shared" si="10"/>
      </c>
      <c r="AC30" s="47">
        <f t="shared" si="10"/>
      </c>
      <c r="AD30" s="46">
        <f t="shared" si="10"/>
      </c>
      <c r="AE30" s="47">
        <f t="shared" si="10"/>
      </c>
      <c r="AF30" s="46">
        <f t="shared" si="10"/>
      </c>
      <c r="AG30" s="72">
        <f t="shared" si="10"/>
      </c>
      <c r="AH30" s="163"/>
      <c r="AI30" s="173"/>
      <c r="AJ30" s="174"/>
      <c r="AK30" s="167"/>
      <c r="AL30" s="168"/>
      <c r="AM30" s="159"/>
      <c r="AN30" s="161"/>
      <c r="AP30">
        <v>29</v>
      </c>
      <c r="AQ30" s="62" t="s">
        <v>91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144</v>
      </c>
      <c r="CH30" s="61">
        <v>96</v>
      </c>
      <c r="CI30" s="61">
        <v>25</v>
      </c>
      <c r="CJ30" s="61">
        <v>80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300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</row>
    <row r="31" spans="1:128" ht="34.5" customHeight="1">
      <c r="A31" s="196" t="s">
        <v>256</v>
      </c>
      <c r="B31" s="196"/>
      <c r="C31" s="196"/>
      <c r="D31" s="196"/>
      <c r="E31" s="197"/>
      <c r="F31" s="82" t="s">
        <v>197</v>
      </c>
      <c r="G31" s="90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>
        <f>VLOOKUP(завтрак7,таб,5,FALSE)</f>
        <v>0</v>
      </c>
      <c r="N31" s="71">
        <f>VLOOKUP(завтрак8,таб,5,FALSE)</f>
        <v>0</v>
      </c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>
        <f>VLOOKUP(обед4,таб,5,FALSE)</f>
        <v>0</v>
      </c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71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>
        <f>VLOOKUP(ужин3,таб,5,FALSE)</f>
        <v>0</v>
      </c>
      <c r="AC31" s="29">
        <f>VLOOKUP(ужин4,таб,5,FALSE)</f>
        <v>0</v>
      </c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71">
        <f>VLOOKUP(ужин8,таб,5,FALSE)</f>
        <v>0</v>
      </c>
      <c r="AH31" s="162">
        <v>610024</v>
      </c>
      <c r="AI31" s="173">
        <f>AK31/сред</f>
        <v>0</v>
      </c>
      <c r="AJ31" s="174"/>
      <c r="AK31" s="165">
        <f>SUM(G32:AG32)</f>
        <v>0</v>
      </c>
      <c r="AL31" s="166"/>
      <c r="AM31" s="158">
        <f>IF(AK31=0,0,AU117)</f>
        <v>0</v>
      </c>
      <c r="AN31" s="160">
        <f>AK31*AM31</f>
        <v>0</v>
      </c>
      <c r="AP31">
        <v>30</v>
      </c>
      <c r="AQ31" s="62" t="s">
        <v>92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</row>
    <row r="32" spans="1:128" ht="34.5" customHeight="1">
      <c r="A32" s="196"/>
      <c r="B32" s="196"/>
      <c r="C32" s="196"/>
      <c r="D32" s="196"/>
      <c r="E32" s="197"/>
      <c r="F32" s="83" t="s">
        <v>198</v>
      </c>
      <c r="G32" s="91">
        <f aca="true" t="shared" si="11" ref="G32:N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>
        <f t="shared" si="11"/>
      </c>
      <c r="N32" s="72">
        <f t="shared" si="11"/>
      </c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>
        <f t="shared" si="12"/>
      </c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72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>
        <f t="shared" si="13"/>
      </c>
      <c r="AC32" s="47">
        <f t="shared" si="13"/>
      </c>
      <c r="AD32" s="46">
        <f t="shared" si="13"/>
      </c>
      <c r="AE32" s="47">
        <f t="shared" si="13"/>
      </c>
      <c r="AF32" s="46">
        <f t="shared" si="13"/>
      </c>
      <c r="AG32" s="72">
        <f t="shared" si="13"/>
      </c>
      <c r="AH32" s="163"/>
      <c r="AI32" s="173"/>
      <c r="AJ32" s="174"/>
      <c r="AK32" s="167"/>
      <c r="AL32" s="168"/>
      <c r="AM32" s="159"/>
      <c r="AN32" s="161"/>
      <c r="AP32">
        <v>31</v>
      </c>
      <c r="AQ32" s="62" t="s">
        <v>9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</row>
    <row r="33" spans="1:128" ht="34.5" customHeight="1">
      <c r="A33" s="196" t="s">
        <v>15</v>
      </c>
      <c r="B33" s="196"/>
      <c r="C33" s="196"/>
      <c r="D33" s="196"/>
      <c r="E33" s="197"/>
      <c r="F33" s="82" t="s">
        <v>197</v>
      </c>
      <c r="G33" s="90">
        <f>VLOOKUP(завтрак1,таб,6,FALSE)</f>
        <v>0</v>
      </c>
      <c r="H33" s="29">
        <f>VLOOKUP(завтрак2,таб,6,FALSE)</f>
        <v>0</v>
      </c>
      <c r="I33" s="28">
        <f>VLOOKUP(завтрак3,таб,6,FALSE)</f>
        <v>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>
        <f>VLOOKUP(завтрак7,таб,6,FALSE)</f>
        <v>0</v>
      </c>
      <c r="N33" s="71">
        <f>VLOOKUP(завтрак8,таб,6,FALSE)</f>
        <v>0</v>
      </c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>
        <f>VLOOKUP(обед4,таб,6,FALSE)</f>
        <v>0</v>
      </c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71">
        <f>VLOOKUP(полдник3,таб,6,FALSE)</f>
        <v>0</v>
      </c>
      <c r="Z33" s="30">
        <f>VLOOKUP(ужин1,таб,6,FALSE)</f>
        <v>0</v>
      </c>
      <c r="AA33" s="29">
        <f>VLOOKUP(ужин2,таб,6,FALSE)</f>
        <v>0</v>
      </c>
      <c r="AB33" s="28">
        <f>VLOOKUP(ужин3,таб,6,FALSE)</f>
        <v>0</v>
      </c>
      <c r="AC33" s="29">
        <f>VLOOKUP(ужин4,таб,6,FALSE)</f>
        <v>0</v>
      </c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71">
        <f>VLOOKUP(ужин8,таб,6,FALSE)</f>
        <v>0</v>
      </c>
      <c r="AH33" s="162">
        <v>610036</v>
      </c>
      <c r="AI33" s="173">
        <f>AK33/сред</f>
        <v>0</v>
      </c>
      <c r="AJ33" s="174"/>
      <c r="AK33" s="165">
        <f>SUM(G34:AG34)</f>
        <v>0</v>
      </c>
      <c r="AL33" s="166"/>
      <c r="AM33" s="158">
        <f>IF(AK33=0,0,AV117)</f>
        <v>0</v>
      </c>
      <c r="AN33" s="160">
        <f>AK33*AM33</f>
        <v>0</v>
      </c>
      <c r="AP33">
        <v>32</v>
      </c>
      <c r="AQ33" s="62" t="s">
        <v>358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</row>
    <row r="34" spans="1:128" ht="34.5" customHeight="1">
      <c r="A34" s="196"/>
      <c r="B34" s="196"/>
      <c r="C34" s="196"/>
      <c r="D34" s="196"/>
      <c r="E34" s="197"/>
      <c r="F34" s="83" t="s">
        <v>198</v>
      </c>
      <c r="G34" s="91">
        <f aca="true" t="shared" si="14" ref="G34:N34">IF(G33=0,"",завтракл*G33/1000)</f>
      </c>
      <c r="H34" s="47">
        <f t="shared" si="14"/>
      </c>
      <c r="I34" s="46">
        <f t="shared" si="14"/>
      </c>
      <c r="J34" s="47">
        <f t="shared" si="14"/>
      </c>
      <c r="K34" s="46">
        <f t="shared" si="14"/>
      </c>
      <c r="L34" s="46">
        <f t="shared" si="14"/>
      </c>
      <c r="M34" s="46">
        <f t="shared" si="14"/>
      </c>
      <c r="N34" s="72">
        <f t="shared" si="14"/>
      </c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>
        <f t="shared" si="15"/>
      </c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72">
        <f>IF(Y33=0,"",полдникл*Y33/1000)</f>
      </c>
      <c r="Z34" s="48">
        <f aca="true" t="shared" si="16" ref="Z34:AG34">IF(Z33=0,"",ужинл*Z33/1000)</f>
      </c>
      <c r="AA34" s="47">
        <f t="shared" si="16"/>
      </c>
      <c r="AB34" s="46">
        <f t="shared" si="16"/>
      </c>
      <c r="AC34" s="47">
        <f t="shared" si="16"/>
      </c>
      <c r="AD34" s="46">
        <f t="shared" si="16"/>
      </c>
      <c r="AE34" s="47">
        <f t="shared" si="16"/>
      </c>
      <c r="AF34" s="46">
        <f t="shared" si="16"/>
      </c>
      <c r="AG34" s="72">
        <f t="shared" si="16"/>
      </c>
      <c r="AH34" s="163"/>
      <c r="AI34" s="173"/>
      <c r="AJ34" s="174"/>
      <c r="AK34" s="167"/>
      <c r="AL34" s="168"/>
      <c r="AM34" s="159"/>
      <c r="AN34" s="161"/>
      <c r="AP34">
        <v>33</v>
      </c>
      <c r="AQ34" s="62" t="s">
        <v>93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</row>
    <row r="35" spans="1:128" ht="34.5" customHeight="1">
      <c r="A35" s="196" t="s">
        <v>4</v>
      </c>
      <c r="B35" s="196"/>
      <c r="C35" s="196"/>
      <c r="D35" s="196"/>
      <c r="E35" s="197"/>
      <c r="F35" s="82" t="s">
        <v>197</v>
      </c>
      <c r="G35" s="90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>
        <f>VLOOKUP(завтрак7,таб,7,FALSE)</f>
        <v>0</v>
      </c>
      <c r="N35" s="71">
        <f>VLOOKUP(завтрак8,таб,7,FALSE)</f>
        <v>0</v>
      </c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>
        <f>VLOOKUP(обед4,таб,7,FALSE)</f>
        <v>0</v>
      </c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71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>
        <f>VLOOKUP(ужин3,таб,7,FALSE)</f>
        <v>0</v>
      </c>
      <c r="AC35" s="29">
        <f>VLOOKUP(ужин4,таб,7,FALSE)</f>
        <v>0</v>
      </c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71">
        <f>VLOOKUP(ужин8,таб,7,FALSE)</f>
        <v>0</v>
      </c>
      <c r="AH35" s="162">
        <v>610052</v>
      </c>
      <c r="AI35" s="173">
        <f>AK35/сред</f>
        <v>0</v>
      </c>
      <c r="AJ35" s="174"/>
      <c r="AK35" s="165">
        <f>SUM(G36:AG36)</f>
        <v>0</v>
      </c>
      <c r="AL35" s="166"/>
      <c r="AM35" s="158">
        <f>IF(AK35=0,0,AW117)</f>
        <v>0</v>
      </c>
      <c r="AN35" s="160">
        <f>AK35*AM35</f>
        <v>0</v>
      </c>
      <c r="AP35">
        <v>34</v>
      </c>
      <c r="AQ35" s="62" t="s">
        <v>94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</row>
    <row r="36" spans="1:128" ht="34.5" customHeight="1">
      <c r="A36" s="196"/>
      <c r="B36" s="196"/>
      <c r="C36" s="196"/>
      <c r="D36" s="196"/>
      <c r="E36" s="197"/>
      <c r="F36" s="83" t="s">
        <v>198</v>
      </c>
      <c r="G36" s="91">
        <f aca="true" t="shared" si="17" ref="G36:N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>
        <f t="shared" si="17"/>
      </c>
      <c r="N36" s="72">
        <f t="shared" si="17"/>
      </c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>
        <f t="shared" si="18"/>
      </c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72">
        <f>IF(Y35=0,"",полдникл*Y35/1000)</f>
      </c>
      <c r="Z36" s="48">
        <f aca="true" t="shared" si="19" ref="Z36:AG36">IF(Z35=0,"",ужинл*Z35/1000)</f>
      </c>
      <c r="AA36" s="47">
        <f t="shared" si="19"/>
      </c>
      <c r="AB36" s="46">
        <f t="shared" si="19"/>
      </c>
      <c r="AC36" s="47">
        <f t="shared" si="19"/>
      </c>
      <c r="AD36" s="46">
        <f t="shared" si="19"/>
      </c>
      <c r="AE36" s="47">
        <f t="shared" si="19"/>
      </c>
      <c r="AF36" s="46">
        <f t="shared" si="19"/>
      </c>
      <c r="AG36" s="72">
        <f t="shared" si="19"/>
      </c>
      <c r="AH36" s="163"/>
      <c r="AI36" s="173"/>
      <c r="AJ36" s="174"/>
      <c r="AK36" s="167"/>
      <c r="AL36" s="168"/>
      <c r="AM36" s="159"/>
      <c r="AN36" s="161"/>
      <c r="AP36">
        <v>35</v>
      </c>
      <c r="AQ36" s="62" t="s">
        <v>95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</row>
    <row r="37" spans="1:128" ht="34.5" customHeight="1">
      <c r="A37" s="196" t="s">
        <v>17</v>
      </c>
      <c r="B37" s="196"/>
      <c r="C37" s="196"/>
      <c r="D37" s="196"/>
      <c r="E37" s="197"/>
      <c r="F37" s="82" t="s">
        <v>197</v>
      </c>
      <c r="G37" s="90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>
        <f>VLOOKUP(завтрак7,таб,8,FALSE)</f>
        <v>0</v>
      </c>
      <c r="N37" s="71">
        <f>VLOOKUP(завтрак8,таб,8,FALSE)</f>
        <v>0</v>
      </c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0</v>
      </c>
      <c r="R37" s="28">
        <f>VLOOKUP(обед4,таб,8,FALSE)</f>
        <v>0</v>
      </c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71">
        <f>VLOOKUP(полдник3,таб,8,FALSE)</f>
        <v>0</v>
      </c>
      <c r="Z37" s="30">
        <f>VLOOKUP(ужин1,таб,8,FALSE)</f>
        <v>0</v>
      </c>
      <c r="AA37" s="29">
        <f>VLOOKUP(ужин2,таб,8,FALSE)</f>
        <v>120</v>
      </c>
      <c r="AB37" s="28">
        <f>VLOOKUP(ужин3,таб,8,FALSE)</f>
        <v>0</v>
      </c>
      <c r="AC37" s="29">
        <f>VLOOKUP(ужин4,таб,8,FALSE)</f>
        <v>0</v>
      </c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71">
        <f>VLOOKUP(ужин8,таб,8,FALSE)</f>
        <v>0</v>
      </c>
      <c r="AH37" s="162">
        <v>611008</v>
      </c>
      <c r="AI37" s="173">
        <f>AK37/сред</f>
        <v>0.12</v>
      </c>
      <c r="AJ37" s="174"/>
      <c r="AK37" s="165">
        <f>SUM(G38:AG38)</f>
        <v>3</v>
      </c>
      <c r="AL37" s="166"/>
      <c r="AM37" s="158">
        <f>IF(AK37=0,0,AX117)</f>
        <v>57.16</v>
      </c>
      <c r="AN37" s="160">
        <f>AK37*AM37</f>
        <v>171.48</v>
      </c>
      <c r="AP37">
        <v>36</v>
      </c>
      <c r="AQ37" s="62" t="s">
        <v>96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</row>
    <row r="38" spans="1:128" ht="34.5" customHeight="1">
      <c r="A38" s="196"/>
      <c r="B38" s="196"/>
      <c r="C38" s="196"/>
      <c r="D38" s="196"/>
      <c r="E38" s="197"/>
      <c r="F38" s="83" t="s">
        <v>198</v>
      </c>
      <c r="G38" s="91">
        <f aca="true" t="shared" si="20" ref="G38:N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>
        <f t="shared" si="20"/>
      </c>
      <c r="N38" s="72">
        <f t="shared" si="20"/>
      </c>
      <c r="O38" s="48">
        <f aca="true" t="shared" si="21" ref="O38:T38">IF(O37=0,"",обідл*O37/1000)</f>
      </c>
      <c r="P38" s="46">
        <f t="shared" si="21"/>
      </c>
      <c r="Q38" s="47">
        <f t="shared" si="21"/>
      </c>
      <c r="R38" s="46">
        <f t="shared" si="21"/>
      </c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72">
        <f>IF(Y37=0,"",полдникл*Y37/1000)</f>
      </c>
      <c r="Z38" s="48">
        <f aca="true" t="shared" si="22" ref="Z38:AG38">IF(Z37=0,"",ужинл*Z37/1000)</f>
      </c>
      <c r="AA38" s="47">
        <f t="shared" si="22"/>
        <v>3</v>
      </c>
      <c r="AB38" s="46">
        <f t="shared" si="22"/>
      </c>
      <c r="AC38" s="47">
        <f t="shared" si="22"/>
      </c>
      <c r="AD38" s="46">
        <f t="shared" si="22"/>
      </c>
      <c r="AE38" s="47">
        <f t="shared" si="22"/>
      </c>
      <c r="AF38" s="46">
        <f t="shared" si="22"/>
      </c>
      <c r="AG38" s="72">
        <f t="shared" si="22"/>
      </c>
      <c r="AH38" s="163"/>
      <c r="AI38" s="173"/>
      <c r="AJ38" s="174"/>
      <c r="AK38" s="167"/>
      <c r="AL38" s="168"/>
      <c r="AM38" s="159"/>
      <c r="AN38" s="161"/>
      <c r="AP38">
        <v>37</v>
      </c>
      <c r="AQ38" s="62" t="s">
        <v>97</v>
      </c>
      <c r="AR38" s="61"/>
      <c r="AS38" s="61"/>
      <c r="AT38" s="61"/>
      <c r="AU38" s="61"/>
      <c r="AV38" s="61"/>
      <c r="AW38" s="61"/>
      <c r="AX38" s="61"/>
      <c r="AY38" s="61"/>
      <c r="AZ38" s="61">
        <v>3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16</v>
      </c>
      <c r="BT38" s="61"/>
      <c r="BU38" s="61"/>
      <c r="BV38" s="61"/>
      <c r="BW38" s="61">
        <v>10</v>
      </c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300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</row>
    <row r="39" spans="1:128" ht="34.5" customHeight="1">
      <c r="A39" s="196" t="s">
        <v>257</v>
      </c>
      <c r="B39" s="196"/>
      <c r="C39" s="196"/>
      <c r="D39" s="196"/>
      <c r="E39" s="197"/>
      <c r="F39" s="82" t="s">
        <v>197</v>
      </c>
      <c r="G39" s="90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>
        <f>VLOOKUP(завтрак7,таб,9,FALSE)</f>
        <v>0</v>
      </c>
      <c r="N39" s="71">
        <f>VLOOKUP(завтрак8,таб,9,FALSE)</f>
        <v>0</v>
      </c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>
        <f>VLOOKUP(обед4,таб,9,FALSE)</f>
        <v>0</v>
      </c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71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>
        <f>VLOOKUP(ужин3,таб,9,FALSE)</f>
        <v>0</v>
      </c>
      <c r="AC39" s="29">
        <f>VLOOKUP(ужин4,таб,9,FALSE)</f>
        <v>0</v>
      </c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71">
        <f>VLOOKUP(ужин8,таб,9,FALSE)</f>
        <v>0</v>
      </c>
      <c r="AH39" s="162">
        <v>611017</v>
      </c>
      <c r="AI39" s="173">
        <f>AK39/сред</f>
        <v>0</v>
      </c>
      <c r="AJ39" s="174"/>
      <c r="AK39" s="165">
        <f>SUM(G40:AG40)</f>
        <v>0</v>
      </c>
      <c r="AL39" s="166"/>
      <c r="AM39" s="158">
        <f>IF(AK39=0,0,AY117)</f>
        <v>0</v>
      </c>
      <c r="AN39" s="160">
        <f>AK39*AM39</f>
        <v>0</v>
      </c>
      <c r="AP39">
        <v>38</v>
      </c>
      <c r="AQ39" s="62" t="s">
        <v>98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100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</row>
    <row r="40" spans="1:128" ht="34.5" customHeight="1">
      <c r="A40" s="196"/>
      <c r="B40" s="196"/>
      <c r="C40" s="196"/>
      <c r="D40" s="196"/>
      <c r="E40" s="197"/>
      <c r="F40" s="83" t="s">
        <v>198</v>
      </c>
      <c r="G40" s="91">
        <f aca="true" t="shared" si="23" ref="G40:N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>
        <f t="shared" si="23"/>
      </c>
      <c r="N40" s="72">
        <f t="shared" si="23"/>
      </c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>
        <f t="shared" si="24"/>
      </c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72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>
        <f t="shared" si="25"/>
      </c>
      <c r="AC40" s="47">
        <f t="shared" si="25"/>
      </c>
      <c r="AD40" s="46">
        <f t="shared" si="25"/>
      </c>
      <c r="AE40" s="47">
        <f t="shared" si="25"/>
      </c>
      <c r="AF40" s="46">
        <f t="shared" si="25"/>
      </c>
      <c r="AG40" s="72">
        <f t="shared" si="25"/>
      </c>
      <c r="AH40" s="163"/>
      <c r="AI40" s="173"/>
      <c r="AJ40" s="174"/>
      <c r="AK40" s="167"/>
      <c r="AL40" s="168"/>
      <c r="AM40" s="159"/>
      <c r="AN40" s="161"/>
      <c r="AP40">
        <v>39</v>
      </c>
      <c r="AQ40" s="62" t="s">
        <v>99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</row>
    <row r="41" spans="1:128" ht="34.5" customHeight="1">
      <c r="A41" s="196" t="s">
        <v>18</v>
      </c>
      <c r="B41" s="196"/>
      <c r="C41" s="196"/>
      <c r="D41" s="196"/>
      <c r="E41" s="197"/>
      <c r="F41" s="82" t="s">
        <v>197</v>
      </c>
      <c r="G41" s="90">
        <f>VLOOKUP(завтрак1,таб,10,FALSE)</f>
        <v>7.5</v>
      </c>
      <c r="H41" s="29">
        <f>VLOOKUP(завтрак2,таб,10,FALSE)</f>
        <v>0</v>
      </c>
      <c r="I41" s="28">
        <f>VLOOKUP(завтрак3,таб,10,FALSE)</f>
        <v>20</v>
      </c>
      <c r="J41" s="29">
        <f>VLOOKUP(завтрак4,таб,10,FALSE)</f>
        <v>0</v>
      </c>
      <c r="K41" s="28">
        <f>VLOOKUP(завтрак5,таб,10,FALSE)</f>
        <v>0</v>
      </c>
      <c r="L41" s="28">
        <f>VLOOKUP(завтрак6,таб,10,FALSE)</f>
        <v>0</v>
      </c>
      <c r="M41" s="28">
        <f>VLOOKUP(завтрак7,таб,10,FALSE)</f>
        <v>0</v>
      </c>
      <c r="N41" s="71">
        <f>VLOOKUP(завтрак8,таб,10,FALSE)</f>
        <v>0</v>
      </c>
      <c r="O41" s="30">
        <f>VLOOKUP(обед1,таб,10,FALSE)</f>
        <v>8</v>
      </c>
      <c r="P41" s="28">
        <v>5</v>
      </c>
      <c r="Q41" s="29">
        <f>VLOOKUP(обед3,таб,10,FALSE)</f>
        <v>0</v>
      </c>
      <c r="R41" s="28">
        <f>VLOOKUP(обед4,таб,10,FALSE)</f>
        <v>0</v>
      </c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>
        <f>VLOOKUP(полдник1,таб,10,FALSE)</f>
        <v>0</v>
      </c>
      <c r="X41" s="28">
        <f>VLOOKUP(полдник2,таб,10,FALSE)</f>
        <v>0</v>
      </c>
      <c r="Y41" s="71">
        <f>VLOOKUP(полдник3,таб,10,FALSE)</f>
        <v>0</v>
      </c>
      <c r="Z41" s="30">
        <f>VLOOKUP(ужин1,таб,10,FALSE)</f>
        <v>7</v>
      </c>
      <c r="AA41" s="29">
        <f>VLOOKUP(ужин2,таб,10,FALSE)</f>
        <v>0</v>
      </c>
      <c r="AB41" s="28">
        <v>2</v>
      </c>
      <c r="AC41" s="29">
        <f>VLOOKUP(ужин4,таб,10,FALSE)</f>
        <v>0</v>
      </c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71">
        <f>VLOOKUP(ужин8,таб,10,FALSE)</f>
        <v>0</v>
      </c>
      <c r="AH41" s="162">
        <v>612001</v>
      </c>
      <c r="AI41" s="173">
        <f>AK41/сред</f>
        <v>0.0495</v>
      </c>
      <c r="AJ41" s="174"/>
      <c r="AK41" s="165">
        <f>SUM(G42:AG42)</f>
        <v>1.2375</v>
      </c>
      <c r="AL41" s="166"/>
      <c r="AM41" s="158">
        <f>IF(AK41=0,0,AZ117)</f>
        <v>165.332</v>
      </c>
      <c r="AN41" s="160">
        <f>AK41*AM41</f>
        <v>204.59835</v>
      </c>
      <c r="AP41">
        <v>40</v>
      </c>
      <c r="AQ41" s="62" t="s">
        <v>101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295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</row>
    <row r="42" spans="1:128" ht="34.5" customHeight="1">
      <c r="A42" s="196"/>
      <c r="B42" s="196"/>
      <c r="C42" s="196"/>
      <c r="D42" s="196"/>
      <c r="E42" s="197"/>
      <c r="F42" s="83" t="s">
        <v>198</v>
      </c>
      <c r="G42" s="91">
        <f aca="true" t="shared" si="26" ref="G42:N42">IF(G41=0,"",завтракл*G41/1000)</f>
        <v>0.1875</v>
      </c>
      <c r="H42" s="47">
        <f t="shared" si="26"/>
      </c>
      <c r="I42" s="46">
        <f t="shared" si="26"/>
        <v>0.5</v>
      </c>
      <c r="J42" s="47">
        <f t="shared" si="26"/>
      </c>
      <c r="K42" s="46">
        <f t="shared" si="26"/>
      </c>
      <c r="L42" s="46">
        <f t="shared" si="26"/>
      </c>
      <c r="M42" s="46">
        <f t="shared" si="26"/>
      </c>
      <c r="N42" s="72">
        <f t="shared" si="26"/>
      </c>
      <c r="O42" s="48">
        <f aca="true" t="shared" si="27" ref="O42:T42">IF(O41=0,"",обідл*O41/1000)</f>
        <v>0.2</v>
      </c>
      <c r="P42" s="46">
        <f t="shared" si="27"/>
        <v>0.125</v>
      </c>
      <c r="Q42" s="47">
        <f t="shared" si="27"/>
      </c>
      <c r="R42" s="46">
        <f t="shared" si="27"/>
      </c>
      <c r="S42" s="47">
        <f t="shared" si="27"/>
      </c>
      <c r="T42" s="46">
        <f t="shared" si="27"/>
      </c>
      <c r="U42" s="47">
        <f>IF(U41=0,"",обідл*U41/1000)</f>
      </c>
      <c r="V42" s="46">
        <f>IF(V41=0,"",обідл*V41/1000)</f>
      </c>
      <c r="W42" s="46">
        <f>IF(W41=0,"",полдникл*W41/1000)</f>
      </c>
      <c r="X42" s="46">
        <f>IF(X41=0,"",полдникл*X41/1000)</f>
      </c>
      <c r="Y42" s="72">
        <f>IF(Y41=0,"",полдникл*Y41/1000)</f>
      </c>
      <c r="Z42" s="48">
        <f aca="true" t="shared" si="28" ref="Z42:AG42">IF(Z41=0,"",ужинл*Z41/1000)</f>
        <v>0.175</v>
      </c>
      <c r="AA42" s="47">
        <f t="shared" si="28"/>
      </c>
      <c r="AB42" s="46">
        <f t="shared" si="28"/>
        <v>0.05</v>
      </c>
      <c r="AC42" s="47">
        <f t="shared" si="28"/>
      </c>
      <c r="AD42" s="46">
        <f t="shared" si="28"/>
      </c>
      <c r="AE42" s="47">
        <f t="shared" si="28"/>
      </c>
      <c r="AF42" s="46">
        <f t="shared" si="28"/>
      </c>
      <c r="AG42" s="72">
        <f t="shared" si="28"/>
      </c>
      <c r="AH42" s="163"/>
      <c r="AI42" s="173"/>
      <c r="AJ42" s="174"/>
      <c r="AK42" s="167"/>
      <c r="AL42" s="168"/>
      <c r="AM42" s="159"/>
      <c r="AN42" s="161"/>
      <c r="AP42">
        <v>41</v>
      </c>
      <c r="AQ42" s="62" t="s">
        <v>103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</row>
    <row r="43" spans="1:128" ht="34.5" customHeight="1">
      <c r="A43" s="196" t="s">
        <v>19</v>
      </c>
      <c r="B43" s="196"/>
      <c r="C43" s="196"/>
      <c r="D43" s="196"/>
      <c r="E43" s="197"/>
      <c r="F43" s="82" t="s">
        <v>197</v>
      </c>
      <c r="G43" s="90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>
        <f>VLOOKUP(завтрак7,таб,11,FALSE)</f>
        <v>0</v>
      </c>
      <c r="N43" s="71">
        <f>VLOOKUP(завтрак8,таб,11,FALSE)</f>
        <v>0</v>
      </c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>
        <f>VLOOKUP(обед4,таб,11,FALSE)</f>
        <v>0</v>
      </c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71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>
        <f>VLOOKUP(ужин3,таб,11,FALSE)</f>
        <v>0</v>
      </c>
      <c r="AC43" s="29">
        <f>VLOOKUP(ужин4,таб,11,FALSE)</f>
        <v>0</v>
      </c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71">
        <f>VLOOKUP(ужин8,таб,11,FALSE)</f>
        <v>0</v>
      </c>
      <c r="AH43" s="162">
        <v>612002</v>
      </c>
      <c r="AI43" s="173">
        <f>AK43/сред</f>
        <v>0</v>
      </c>
      <c r="AJ43" s="174"/>
      <c r="AK43" s="165">
        <f>SUM(G44:AG44)</f>
        <v>0</v>
      </c>
      <c r="AL43" s="166"/>
      <c r="AM43" s="158">
        <f>IF(AK43=0,0,BA117)</f>
        <v>0</v>
      </c>
      <c r="AN43" s="160">
        <f>AK43*AM43</f>
        <v>0</v>
      </c>
      <c r="AP43">
        <v>42</v>
      </c>
      <c r="AQ43" s="62" t="s">
        <v>104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</row>
    <row r="44" spans="1:128" ht="34.5" customHeight="1">
      <c r="A44" s="196"/>
      <c r="B44" s="196"/>
      <c r="C44" s="196"/>
      <c r="D44" s="196"/>
      <c r="E44" s="197"/>
      <c r="F44" s="83" t="s">
        <v>198</v>
      </c>
      <c r="G44" s="91">
        <f aca="true" t="shared" si="29" ref="G44:N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>
        <f t="shared" si="29"/>
      </c>
      <c r="N44" s="72">
        <f t="shared" si="29"/>
      </c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>
        <f t="shared" si="30"/>
      </c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72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>
        <f t="shared" si="31"/>
      </c>
      <c r="AC44" s="47">
        <f t="shared" si="31"/>
      </c>
      <c r="AD44" s="46">
        <f t="shared" si="31"/>
      </c>
      <c r="AE44" s="47">
        <f t="shared" si="31"/>
      </c>
      <c r="AF44" s="46">
        <f t="shared" si="31"/>
      </c>
      <c r="AG44" s="72">
        <f t="shared" si="31"/>
      </c>
      <c r="AH44" s="163"/>
      <c r="AI44" s="173"/>
      <c r="AJ44" s="174"/>
      <c r="AK44" s="167"/>
      <c r="AL44" s="168"/>
      <c r="AM44" s="159"/>
      <c r="AN44" s="161"/>
      <c r="AP44">
        <v>43</v>
      </c>
      <c r="AQ44" s="62" t="s">
        <v>312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60</v>
      </c>
      <c r="DE44" s="61">
        <v>60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</row>
    <row r="45" spans="1:128" ht="34.5" customHeight="1">
      <c r="A45" s="196" t="s">
        <v>5</v>
      </c>
      <c r="B45" s="196"/>
      <c r="C45" s="196"/>
      <c r="D45" s="196"/>
      <c r="E45" s="197"/>
      <c r="F45" s="82" t="s">
        <v>197</v>
      </c>
      <c r="G45" s="90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>
        <f>VLOOKUP(завтрак7,таб,12,FALSE)</f>
        <v>0</v>
      </c>
      <c r="N45" s="71">
        <f>VLOOKUP(завтрак8,таб,12,FALSE)</f>
        <v>0</v>
      </c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>
        <f>VLOOKUP(обед4,таб,12,FALSE)</f>
        <v>0</v>
      </c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71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>
        <f>VLOOKUP(ужин3,таб,12,FALSE)</f>
        <v>0</v>
      </c>
      <c r="AC45" s="29">
        <f>VLOOKUP(ужин4,таб,12,FALSE)</f>
        <v>0</v>
      </c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71">
        <f>VLOOKUP(ужин8,таб,12,FALSE)</f>
        <v>0</v>
      </c>
      <c r="AH45" s="162">
        <v>612024</v>
      </c>
      <c r="AI45" s="173">
        <f>AK45/сред</f>
        <v>0</v>
      </c>
      <c r="AJ45" s="174"/>
      <c r="AK45" s="165">
        <f>SUM(G46:AG46)</f>
        <v>0</v>
      </c>
      <c r="AL45" s="166"/>
      <c r="AM45" s="158">
        <f>IF(AK45=0,0,BB117)</f>
        <v>0</v>
      </c>
      <c r="AN45" s="160">
        <f>AK45*AM45</f>
        <v>0</v>
      </c>
      <c r="AP45">
        <v>44</v>
      </c>
      <c r="AQ45" s="62" t="s">
        <v>106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</row>
    <row r="46" spans="1:128" ht="34.5" customHeight="1">
      <c r="A46" s="196"/>
      <c r="B46" s="196"/>
      <c r="C46" s="196"/>
      <c r="D46" s="196"/>
      <c r="E46" s="197"/>
      <c r="F46" s="83" t="s">
        <v>198</v>
      </c>
      <c r="G46" s="92">
        <f aca="true" t="shared" si="32" ref="G46:N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>
        <f t="shared" si="32"/>
      </c>
      <c r="N46" s="72">
        <f t="shared" si="32"/>
      </c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>
        <f t="shared" si="33"/>
      </c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77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>
        <f t="shared" si="34"/>
      </c>
      <c r="AC46" s="49">
        <f t="shared" si="34"/>
      </c>
      <c r="AD46" s="45">
        <f t="shared" si="34"/>
      </c>
      <c r="AE46" s="49">
        <f t="shared" si="34"/>
      </c>
      <c r="AF46" s="45">
        <f t="shared" si="34"/>
      </c>
      <c r="AG46" s="77">
        <f t="shared" si="34"/>
      </c>
      <c r="AH46" s="163"/>
      <c r="AI46" s="173"/>
      <c r="AJ46" s="174"/>
      <c r="AK46" s="167"/>
      <c r="AL46" s="168"/>
      <c r="AM46" s="159"/>
      <c r="AN46" s="161"/>
      <c r="AP46">
        <v>45</v>
      </c>
      <c r="AQ46" s="62" t="s">
        <v>107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>
        <v>300</v>
      </c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</row>
    <row r="47" spans="1:128" ht="34.5" customHeight="1">
      <c r="A47" s="196" t="s">
        <v>20</v>
      </c>
      <c r="B47" s="196"/>
      <c r="C47" s="196"/>
      <c r="D47" s="196"/>
      <c r="E47" s="197"/>
      <c r="F47" s="82" t="s">
        <v>197</v>
      </c>
      <c r="G47" s="90">
        <f>VLOOKUP(завтрак1,таб,13,FALSE)</f>
        <v>0</v>
      </c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>
        <f>VLOOKUP(завтрак7,таб,13,FALSE)</f>
        <v>0</v>
      </c>
      <c r="N47" s="71">
        <f>VLOOKUP(завтрак8,таб,13,FALSE)</f>
        <v>0</v>
      </c>
      <c r="O47" s="30">
        <f>VLOOKUP(обед1,таб,13,FALSE)</f>
        <v>8</v>
      </c>
      <c r="P47" s="28">
        <v>4</v>
      </c>
      <c r="Q47" s="29">
        <f>VLOOKUP(обед3,таб,13,FALSE)</f>
        <v>0</v>
      </c>
      <c r="R47" s="28">
        <f>VLOOKUP(обед4,таб,13,FALSE)</f>
        <v>0</v>
      </c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v>1</v>
      </c>
      <c r="X47" s="28">
        <f>VLOOKUP(полдник2,таб,13,FALSE)</f>
        <v>0</v>
      </c>
      <c r="Y47" s="71">
        <f>VLOOKUP(полдник3,таб,13,FALSE)</f>
        <v>0</v>
      </c>
      <c r="Z47" s="30">
        <f>VLOOKUP(ужин1,таб,13,FALSE)</f>
        <v>0</v>
      </c>
      <c r="AA47" s="29">
        <v>5</v>
      </c>
      <c r="AB47" s="28">
        <f>VLOOKUP(ужин3,таб,13,FALSE)</f>
        <v>0</v>
      </c>
      <c r="AC47" s="29">
        <f>VLOOKUP(ужин4,таб,13,FALSE)</f>
        <v>0</v>
      </c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71">
        <f>VLOOKUP(ужин8,таб,13,FALSE)</f>
        <v>0</v>
      </c>
      <c r="AH47" s="162">
        <v>612025</v>
      </c>
      <c r="AI47" s="173">
        <f>AK47/сред</f>
        <v>0.018000000000000002</v>
      </c>
      <c r="AJ47" s="174"/>
      <c r="AK47" s="165">
        <f>SUM(G48:AG48)</f>
        <v>0.45000000000000007</v>
      </c>
      <c r="AL47" s="166"/>
      <c r="AM47" s="158">
        <f>IF(AK47=0,0,BC117)</f>
        <v>44</v>
      </c>
      <c r="AN47" s="160">
        <f>AK47*AM47</f>
        <v>19.800000000000004</v>
      </c>
      <c r="AP47">
        <v>46</v>
      </c>
      <c r="AQ47" s="62" t="s">
        <v>286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</row>
    <row r="48" spans="1:128" ht="34.5" customHeight="1">
      <c r="A48" s="196"/>
      <c r="B48" s="196"/>
      <c r="C48" s="196"/>
      <c r="D48" s="196"/>
      <c r="E48" s="197"/>
      <c r="F48" s="83" t="s">
        <v>198</v>
      </c>
      <c r="G48" s="91">
        <f aca="true" t="shared" si="35" ref="G48:N48">IF(G47=0,"",завтракл*G47/1000)</f>
      </c>
      <c r="H48" s="47">
        <f t="shared" si="35"/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>
        <f t="shared" si="35"/>
      </c>
      <c r="N48" s="72">
        <f t="shared" si="35"/>
      </c>
      <c r="O48" s="48">
        <f aca="true" t="shared" si="36" ref="O48:T48">IF(O47=0,"",обідл*O47/1000)</f>
        <v>0.2</v>
      </c>
      <c r="P48" s="46">
        <f t="shared" si="36"/>
        <v>0.1</v>
      </c>
      <c r="Q48" s="47">
        <f t="shared" si="36"/>
      </c>
      <c r="R48" s="46">
        <f t="shared" si="36"/>
      </c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  <v>0.025</v>
      </c>
      <c r="X48" s="46">
        <f>IF(X47=0,"",полдникл*X47/1000)</f>
      </c>
      <c r="Y48" s="72">
        <f>IF(Y47=0,"",полдникл*Y47/1000)</f>
      </c>
      <c r="Z48" s="48">
        <f aca="true" t="shared" si="37" ref="Z48:AG48">IF(Z47=0,"",ужинл*Z47/1000)</f>
      </c>
      <c r="AA48" s="47">
        <f t="shared" si="37"/>
        <v>0.125</v>
      </c>
      <c r="AB48" s="46">
        <f t="shared" si="37"/>
      </c>
      <c r="AC48" s="47">
        <f t="shared" si="37"/>
      </c>
      <c r="AD48" s="46">
        <f t="shared" si="37"/>
      </c>
      <c r="AE48" s="47">
        <f t="shared" si="37"/>
      </c>
      <c r="AF48" s="46">
        <f t="shared" si="37"/>
      </c>
      <c r="AG48" s="72">
        <f t="shared" si="37"/>
      </c>
      <c r="AH48" s="163"/>
      <c r="AI48" s="173"/>
      <c r="AJ48" s="174"/>
      <c r="AK48" s="167"/>
      <c r="AL48" s="168"/>
      <c r="AM48" s="159"/>
      <c r="AN48" s="161"/>
      <c r="AP48">
        <v>47</v>
      </c>
      <c r="AQ48" s="62" t="s">
        <v>317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>
        <v>200</v>
      </c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200</v>
      </c>
      <c r="DF48" s="61"/>
      <c r="DG48" s="61"/>
      <c r="DH48" s="61"/>
      <c r="DI48" s="61"/>
      <c r="DJ48" s="61"/>
      <c r="DK48" s="61"/>
      <c r="DL48" s="61"/>
      <c r="DM48" s="61"/>
      <c r="DN48" s="61">
        <v>200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</row>
    <row r="49" spans="1:128" ht="34.5" customHeight="1">
      <c r="A49" s="196" t="s">
        <v>21</v>
      </c>
      <c r="B49" s="196"/>
      <c r="C49" s="196"/>
      <c r="D49" s="196"/>
      <c r="E49" s="197"/>
      <c r="F49" s="82" t="s">
        <v>197</v>
      </c>
      <c r="G49" s="93">
        <f>VLOOKUP(завтрак1,таб,14,FALSE)</f>
        <v>141</v>
      </c>
      <c r="H49" s="32">
        <f>VLOOKUP(завтрак2,таб,14,FALSE)</f>
        <v>0</v>
      </c>
      <c r="I49" s="31">
        <f>VLOOKUP(завтрак3,таб,14,FALSE)</f>
        <v>0</v>
      </c>
      <c r="J49" s="32">
        <f>VLOOKUP(завтрак4,таб,14,FALSE)</f>
        <v>0</v>
      </c>
      <c r="K49" s="31">
        <f>VLOOKUP(завтрак5,таб,14,FALSE)</f>
        <v>0</v>
      </c>
      <c r="L49" s="31">
        <f>VLOOKUP(завтрак6,таб,14,FALSE)</f>
        <v>100</v>
      </c>
      <c r="M49" s="28">
        <f>VLOOKUP(завтрак7,таб,14,FALSE)</f>
        <v>0</v>
      </c>
      <c r="N49" s="71">
        <f>VLOOKUP(завтрак8,таб,14,FALSE)</f>
        <v>0</v>
      </c>
      <c r="O49" s="33">
        <f>VLOOKUP(обед1,таб,14,FALSE)</f>
        <v>0</v>
      </c>
      <c r="P49" s="31">
        <f>VLOOKUP(обед2,таб,14,FALSE)</f>
        <v>0</v>
      </c>
      <c r="Q49" s="32">
        <f>VLOOKUP(обед3,таб,14,FALSE)</f>
        <v>0</v>
      </c>
      <c r="R49" s="31">
        <f>VLOOKUP(обед4,таб,14,FALSE)</f>
        <v>0</v>
      </c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>
        <f>VLOOKUP(полдник1,таб,14,FALSE)</f>
        <v>0</v>
      </c>
      <c r="X49" s="31">
        <f>VLOOKUP(полдник2,таб,14,FALSE)</f>
        <v>0</v>
      </c>
      <c r="Y49" s="78">
        <f>VLOOKUP(полдник3,таб,14,FALSE)</f>
        <v>0</v>
      </c>
      <c r="Z49" s="33">
        <f>VLOOKUP(ужин1,таб,14,FALSE)</f>
        <v>32</v>
      </c>
      <c r="AA49" s="32">
        <f>VLOOKUP(ужин2,таб,14,FALSE)</f>
        <v>0</v>
      </c>
      <c r="AB49" s="31">
        <f>VLOOKUP(ужин3,таб,14,FALSE)</f>
        <v>0</v>
      </c>
      <c r="AC49" s="32">
        <f>VLOOKUP(ужин4,таб,14,FALSE)</f>
        <v>0</v>
      </c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78">
        <f>VLOOKUP(ужин8,таб,14,FALSE)</f>
        <v>0</v>
      </c>
      <c r="AH49" s="162">
        <v>612036</v>
      </c>
      <c r="AI49" s="173">
        <f>AK49/сред</f>
        <v>0.273</v>
      </c>
      <c r="AJ49" s="174"/>
      <c r="AK49" s="165">
        <f>SUM(G50:AG50)</f>
        <v>6.825</v>
      </c>
      <c r="AL49" s="166"/>
      <c r="AM49" s="158">
        <f>IF(AK49=0,0,BD117)</f>
        <v>18.8</v>
      </c>
      <c r="AN49" s="160">
        <f>AK49*AM49</f>
        <v>128.31</v>
      </c>
      <c r="AP49">
        <v>48</v>
      </c>
      <c r="AQ49" s="62" t="s">
        <v>105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300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</row>
    <row r="50" spans="1:128" ht="34.5" customHeight="1">
      <c r="A50" s="239"/>
      <c r="B50" s="239"/>
      <c r="C50" s="239"/>
      <c r="D50" s="239"/>
      <c r="E50" s="240"/>
      <c r="F50" s="83" t="s">
        <v>198</v>
      </c>
      <c r="G50" s="92">
        <f aca="true" t="shared" si="38" ref="G50:N50">IF(G49=0,"",завтракл*G49/1000)</f>
        <v>3.525</v>
      </c>
      <c r="H50" s="49">
        <f t="shared" si="38"/>
      </c>
      <c r="I50" s="45">
        <f t="shared" si="38"/>
      </c>
      <c r="J50" s="49">
        <f t="shared" si="38"/>
      </c>
      <c r="K50" s="45">
        <f t="shared" si="38"/>
      </c>
      <c r="L50" s="45">
        <f t="shared" si="38"/>
        <v>2.5</v>
      </c>
      <c r="M50" s="46">
        <f t="shared" si="38"/>
      </c>
      <c r="N50" s="72">
        <f t="shared" si="38"/>
      </c>
      <c r="O50" s="50">
        <f aca="true" t="shared" si="39" ref="O50:T50">IF(O49=0,"",обідл*O49/1000)</f>
      </c>
      <c r="P50" s="45">
        <f t="shared" si="39"/>
      </c>
      <c r="Q50" s="49">
        <f t="shared" si="39"/>
      </c>
      <c r="R50" s="45">
        <f t="shared" si="39"/>
      </c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</c>
      <c r="X50" s="45">
        <f>IF(X49=0,"",полдникл*X49/1000)</f>
      </c>
      <c r="Y50" s="77">
        <f>IF(Y49=0,"",полдникл*Y49/1000)</f>
      </c>
      <c r="Z50" s="50">
        <f aca="true" t="shared" si="40" ref="Z50:AG50">IF(Z49=0,"",ужинл*Z49/1000)</f>
        <v>0.8</v>
      </c>
      <c r="AA50" s="49">
        <f t="shared" si="40"/>
      </c>
      <c r="AB50" s="45">
        <f t="shared" si="40"/>
      </c>
      <c r="AC50" s="49">
        <f t="shared" si="40"/>
      </c>
      <c r="AD50" s="45">
        <f t="shared" si="40"/>
      </c>
      <c r="AE50" s="49">
        <f t="shared" si="40"/>
      </c>
      <c r="AF50" s="45">
        <f t="shared" si="40"/>
      </c>
      <c r="AG50" s="77">
        <f t="shared" si="40"/>
      </c>
      <c r="AH50" s="163"/>
      <c r="AI50" s="173"/>
      <c r="AJ50" s="174"/>
      <c r="AK50" s="167"/>
      <c r="AL50" s="168"/>
      <c r="AM50" s="159"/>
      <c r="AN50" s="161"/>
      <c r="AP50">
        <v>49</v>
      </c>
      <c r="AQ50" s="62" t="s">
        <v>108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200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200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</row>
    <row r="51" spans="1:128" ht="34.5" customHeight="1">
      <c r="A51" s="196" t="s">
        <v>22</v>
      </c>
      <c r="B51" s="196"/>
      <c r="C51" s="196"/>
      <c r="D51" s="196"/>
      <c r="E51" s="197"/>
      <c r="F51" s="82" t="s">
        <v>197</v>
      </c>
      <c r="G51" s="90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>
        <f>VLOOKUP(завтрак7,таб,15,FALSE)</f>
        <v>0</v>
      </c>
      <c r="N51" s="71">
        <f>VLOOKUP(завтрак8,таб,15,FALSE)</f>
        <v>0</v>
      </c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>
        <f>VLOOKUP(обед4,таб,15,FALSE)</f>
        <v>0</v>
      </c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71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>
        <f>VLOOKUP(ужин3,таб,15,FALSE)</f>
        <v>0</v>
      </c>
      <c r="AC51" s="29">
        <f>VLOOKUP(ужин4,таб,15,FALSE)</f>
        <v>0</v>
      </c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71">
        <f>VLOOKUP(ужин8,таб,15,FALSE)</f>
        <v>0</v>
      </c>
      <c r="AH51" s="162">
        <v>612034</v>
      </c>
      <c r="AI51" s="173">
        <f>AK51/сред</f>
        <v>0</v>
      </c>
      <c r="AJ51" s="174"/>
      <c r="AK51" s="165">
        <f>SUM(G52:AG52)</f>
        <v>0</v>
      </c>
      <c r="AL51" s="166"/>
      <c r="AM51" s="158">
        <f>IF(AK51=0,0,BE117)</f>
        <v>0</v>
      </c>
      <c r="AN51" s="160">
        <f>AK51*AM51</f>
        <v>0</v>
      </c>
      <c r="AP51">
        <v>50</v>
      </c>
      <c r="AQ51" s="62" t="s">
        <v>109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</row>
    <row r="52" spans="1:128" ht="34.5" customHeight="1">
      <c r="A52" s="196"/>
      <c r="B52" s="196"/>
      <c r="C52" s="196"/>
      <c r="D52" s="196"/>
      <c r="E52" s="197"/>
      <c r="F52" s="83" t="s">
        <v>198</v>
      </c>
      <c r="G52" s="91">
        <f aca="true" t="shared" si="41" ref="G52:N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>
        <f t="shared" si="41"/>
      </c>
      <c r="N52" s="72">
        <f t="shared" si="41"/>
      </c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>
        <f t="shared" si="42"/>
      </c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72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>
        <f t="shared" si="43"/>
      </c>
      <c r="AC52" s="47">
        <f t="shared" si="43"/>
      </c>
      <c r="AD52" s="46">
        <f t="shared" si="43"/>
      </c>
      <c r="AE52" s="47">
        <f t="shared" si="43"/>
      </c>
      <c r="AF52" s="46">
        <f t="shared" si="43"/>
      </c>
      <c r="AG52" s="72">
        <f t="shared" si="43"/>
      </c>
      <c r="AH52" s="163"/>
      <c r="AI52" s="173"/>
      <c r="AJ52" s="174"/>
      <c r="AK52" s="167"/>
      <c r="AL52" s="168"/>
      <c r="AM52" s="159"/>
      <c r="AN52" s="161"/>
      <c r="AP52">
        <v>51</v>
      </c>
      <c r="AQ52" s="62" t="s">
        <v>110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</row>
    <row r="53" spans="1:128" ht="34.5" customHeight="1">
      <c r="A53" s="237" t="s">
        <v>23</v>
      </c>
      <c r="B53" s="237"/>
      <c r="C53" s="237"/>
      <c r="D53" s="237"/>
      <c r="E53" s="238"/>
      <c r="F53" s="82" t="s">
        <v>197</v>
      </c>
      <c r="G53" s="93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>
        <f>VLOOKUP(завтрак7,таб,16,FALSE)</f>
        <v>0</v>
      </c>
      <c r="N53" s="71">
        <f>VLOOKUP(завтрак8,таб,16,FALSE)</f>
        <v>0</v>
      </c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>
        <f>VLOOKUP(обед4,таб,16,FALSE)</f>
        <v>0</v>
      </c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0</v>
      </c>
      <c r="Y53" s="78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>
        <f>VLOOKUP(ужин3,таб,16,FALSE)</f>
        <v>0</v>
      </c>
      <c r="AC53" s="32">
        <f>VLOOKUP(ужин4,таб,16,FALSE)</f>
        <v>0</v>
      </c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78">
        <f>VLOOKUP(ужин8,таб,16,FALSE)</f>
        <v>0</v>
      </c>
      <c r="AH53" s="162">
        <v>612053</v>
      </c>
      <c r="AI53" s="173">
        <f>AK53/сред</f>
        <v>0</v>
      </c>
      <c r="AJ53" s="174"/>
      <c r="AK53" s="165">
        <f>SUM(G54:AG54)</f>
        <v>0</v>
      </c>
      <c r="AL53" s="166"/>
      <c r="AM53" s="158">
        <f>IF(AK53=0,0,BF117)</f>
        <v>0</v>
      </c>
      <c r="AN53" s="160">
        <f>AK53*AM53</f>
        <v>0</v>
      </c>
      <c r="AP53">
        <v>52</v>
      </c>
      <c r="AQ53" s="62" t="s">
        <v>111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</row>
    <row r="54" spans="1:128" ht="34.5" customHeight="1">
      <c r="A54" s="239"/>
      <c r="B54" s="239"/>
      <c r="C54" s="239"/>
      <c r="D54" s="239"/>
      <c r="E54" s="240"/>
      <c r="F54" s="83" t="s">
        <v>198</v>
      </c>
      <c r="G54" s="92">
        <f aca="true" t="shared" si="44" ref="G54:N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>
        <f t="shared" si="44"/>
      </c>
      <c r="N54" s="72">
        <f t="shared" si="44"/>
      </c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>
        <f t="shared" si="45"/>
      </c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</c>
      <c r="Y54" s="77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>
        <f t="shared" si="46"/>
      </c>
      <c r="AC54" s="49">
        <f t="shared" si="46"/>
      </c>
      <c r="AD54" s="45">
        <f t="shared" si="46"/>
      </c>
      <c r="AE54" s="49">
        <f t="shared" si="46"/>
      </c>
      <c r="AF54" s="45">
        <f t="shared" si="46"/>
      </c>
      <c r="AG54" s="77">
        <f t="shared" si="46"/>
      </c>
      <c r="AH54" s="163"/>
      <c r="AI54" s="173"/>
      <c r="AJ54" s="174"/>
      <c r="AK54" s="167"/>
      <c r="AL54" s="168"/>
      <c r="AM54" s="159"/>
      <c r="AN54" s="161"/>
      <c r="AP54">
        <v>53</v>
      </c>
      <c r="AQ54" s="62" t="s">
        <v>11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150</v>
      </c>
      <c r="DU54" s="61"/>
      <c r="DV54" s="61">
        <v>130</v>
      </c>
      <c r="DW54" s="61"/>
      <c r="DX54" s="61"/>
    </row>
    <row r="55" spans="1:128" ht="34.5" customHeight="1">
      <c r="A55" s="196" t="s">
        <v>24</v>
      </c>
      <c r="B55" s="196"/>
      <c r="C55" s="196"/>
      <c r="D55" s="196"/>
      <c r="E55" s="197"/>
      <c r="F55" s="82" t="s">
        <v>197</v>
      </c>
      <c r="G55" s="90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>
        <f>VLOOKUP(завтрак7,таб,17,FALSE)</f>
        <v>0</v>
      </c>
      <c r="N55" s="71">
        <f>VLOOKUP(завтрак8,таб,17,FALSE)</f>
        <v>0</v>
      </c>
      <c r="O55" s="36">
        <f>VLOOKUP(обед1,таб,17,FALSE)</f>
        <v>0</v>
      </c>
      <c r="P55" s="35">
        <f>VLOOKUP(обед2,таб,17,FALSE)</f>
        <v>0</v>
      </c>
      <c r="Q55" s="34">
        <f>VLOOKUP(обед3,таб,17,FALSE)</f>
        <v>0</v>
      </c>
      <c r="R55" s="35">
        <f>VLOOKUP(обед4,таб,17,FALSE)</f>
        <v>0</v>
      </c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f>VLOOKUP(полдник1,таб,17,FALSE)</f>
        <v>25</v>
      </c>
      <c r="X55" s="35">
        <f>VLOOKUP(полдник2,таб,17,FALSE)</f>
        <v>0</v>
      </c>
      <c r="Y55" s="79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>
        <f>VLOOKUP(ужин3,таб,17,FALSE)</f>
        <v>0</v>
      </c>
      <c r="AC55" s="34">
        <f>VLOOKUP(ужин4,таб,17,FALSE)</f>
        <v>0</v>
      </c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79">
        <f>VLOOKUP(ужин8,таб,17,FALSE)</f>
        <v>0</v>
      </c>
      <c r="AH55" s="162">
        <v>612060</v>
      </c>
      <c r="AI55" s="173">
        <f>AK55/сред</f>
        <v>0.025</v>
      </c>
      <c r="AJ55" s="174"/>
      <c r="AK55" s="165">
        <f>SUM(G56:AG56)</f>
        <v>0.625</v>
      </c>
      <c r="AL55" s="166"/>
      <c r="AM55" s="158">
        <f>IF(AK55=0,0,BG117)</f>
        <v>63.86</v>
      </c>
      <c r="AN55" s="160">
        <f>AK55*AM55</f>
        <v>39.9125</v>
      </c>
      <c r="AP55">
        <v>54</v>
      </c>
      <c r="AQ55" s="62" t="s">
        <v>12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</row>
    <row r="56" spans="1:128" ht="34.5" customHeight="1">
      <c r="A56" s="196"/>
      <c r="B56" s="196"/>
      <c r="C56" s="196"/>
      <c r="D56" s="196"/>
      <c r="E56" s="197"/>
      <c r="F56" s="83" t="s">
        <v>198</v>
      </c>
      <c r="G56" s="91">
        <f aca="true" t="shared" si="47" ref="G56:N56">IF(G55=0,"",завтракл*G55/1000)</f>
      </c>
      <c r="H56" s="47">
        <f t="shared" si="47"/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>
        <f t="shared" si="47"/>
      </c>
      <c r="N56" s="72">
        <f t="shared" si="47"/>
      </c>
      <c r="O56" s="48">
        <f aca="true" t="shared" si="48" ref="O56:T56">IF(O55=0,"",обідл*O55/1000)</f>
      </c>
      <c r="P56" s="46">
        <f t="shared" si="48"/>
      </c>
      <c r="Q56" s="47">
        <f t="shared" si="48"/>
      </c>
      <c r="R56" s="46">
        <f t="shared" si="48"/>
      </c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  <v>0.625</v>
      </c>
      <c r="X56" s="46">
        <f>IF(X55=0,"",полдникл*X55/1000)</f>
      </c>
      <c r="Y56" s="72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>
        <f t="shared" si="49"/>
      </c>
      <c r="AC56" s="47">
        <f t="shared" si="49"/>
      </c>
      <c r="AD56" s="46">
        <f t="shared" si="49"/>
      </c>
      <c r="AE56" s="47">
        <f t="shared" si="49"/>
      </c>
      <c r="AF56" s="46">
        <f t="shared" si="49"/>
      </c>
      <c r="AG56" s="72">
        <f t="shared" si="49"/>
      </c>
      <c r="AH56" s="163"/>
      <c r="AI56" s="173"/>
      <c r="AJ56" s="174"/>
      <c r="AK56" s="167"/>
      <c r="AL56" s="168"/>
      <c r="AM56" s="159"/>
      <c r="AN56" s="161"/>
      <c r="AP56">
        <v>55</v>
      </c>
      <c r="AQ56" s="62" t="s">
        <v>166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20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20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</row>
    <row r="57" spans="1:128" ht="34.5" customHeight="1">
      <c r="A57" s="237" t="s">
        <v>25</v>
      </c>
      <c r="B57" s="237"/>
      <c r="C57" s="237"/>
      <c r="D57" s="237"/>
      <c r="E57" s="238"/>
      <c r="F57" s="82" t="s">
        <v>197</v>
      </c>
      <c r="G57" s="93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>
        <f>VLOOKUP(завтрак7,таб,18,FALSE)</f>
        <v>0</v>
      </c>
      <c r="N57" s="71">
        <f>VLOOKUP(завтрак8,таб,18,FALSE)</f>
        <v>0</v>
      </c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>
        <f>VLOOKUP(обед4,таб,18,FALSE)</f>
        <v>0</v>
      </c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f>VLOOKUP(полдник1,таб,18,FALSE)</f>
        <v>141</v>
      </c>
      <c r="X57" s="38">
        <f>VLOOKUP(полдник2,таб,18,FALSE)</f>
        <v>0</v>
      </c>
      <c r="Y57" s="80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>
        <f>VLOOKUP(ужин3,таб,18,FALSE)</f>
        <v>0</v>
      </c>
      <c r="AC57" s="37">
        <f>VLOOKUP(ужин4,таб,18,FALSE)</f>
        <v>0</v>
      </c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80">
        <f>VLOOKUP(ужин8,таб,18,FALSE)</f>
        <v>0</v>
      </c>
      <c r="AH57" s="162">
        <v>612087</v>
      </c>
      <c r="AI57" s="173">
        <f>AK57/сред</f>
        <v>0.141</v>
      </c>
      <c r="AJ57" s="174"/>
      <c r="AK57" s="165">
        <f>SUM(G58:AG58)</f>
        <v>3.525</v>
      </c>
      <c r="AL57" s="166"/>
      <c r="AM57" s="158">
        <f>IF(AK57=0,0,BH117)</f>
        <v>53.6</v>
      </c>
      <c r="AN57" s="160">
        <f>AK57*AM57</f>
        <v>188.94</v>
      </c>
      <c r="AP57">
        <v>56</v>
      </c>
      <c r="AQ57" s="62" t="s">
        <v>241</v>
      </c>
      <c r="AR57" s="61"/>
      <c r="AS57" s="61"/>
      <c r="AT57" s="61"/>
      <c r="AU57" s="61"/>
      <c r="AV57" s="61"/>
      <c r="AW57" s="61"/>
      <c r="AX57" s="61">
        <v>202</v>
      </c>
      <c r="AY57" s="61"/>
      <c r="AZ57" s="61"/>
      <c r="BA57" s="61"/>
      <c r="BB57" s="61"/>
      <c r="BC57" s="61">
        <v>7</v>
      </c>
      <c r="BD57" s="61"/>
      <c r="BE57" s="61"/>
      <c r="BF57" s="61"/>
      <c r="BG57" s="61"/>
      <c r="BH57" s="61"/>
      <c r="BI57" s="61"/>
      <c r="BJ57" s="61"/>
      <c r="BK57" s="61"/>
      <c r="BL57" s="61">
        <v>7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160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</row>
    <row r="58" spans="1:128" ht="34.5" customHeight="1">
      <c r="A58" s="239"/>
      <c r="B58" s="239"/>
      <c r="C58" s="239"/>
      <c r="D58" s="239"/>
      <c r="E58" s="240"/>
      <c r="F58" s="83" t="s">
        <v>198</v>
      </c>
      <c r="G58" s="92">
        <f aca="true" t="shared" si="50" ref="G58:N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>
        <f t="shared" si="50"/>
      </c>
      <c r="N58" s="72">
        <f t="shared" si="50"/>
      </c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>
        <f t="shared" si="51"/>
      </c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  <v>3.525</v>
      </c>
      <c r="X58" s="45">
        <f>IF(X57=0,"",полдникл*X57/1000)</f>
      </c>
      <c r="Y58" s="77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>
        <f t="shared" si="52"/>
      </c>
      <c r="AC58" s="49">
        <f t="shared" si="52"/>
      </c>
      <c r="AD58" s="45">
        <f t="shared" si="52"/>
      </c>
      <c r="AE58" s="49">
        <f t="shared" si="52"/>
      </c>
      <c r="AF58" s="45">
        <f t="shared" si="52"/>
      </c>
      <c r="AG58" s="77">
        <f t="shared" si="52"/>
      </c>
      <c r="AH58" s="163"/>
      <c r="AI58" s="173"/>
      <c r="AJ58" s="174"/>
      <c r="AK58" s="167"/>
      <c r="AL58" s="168"/>
      <c r="AM58" s="159"/>
      <c r="AN58" s="161"/>
      <c r="AP58">
        <v>57</v>
      </c>
      <c r="AQ58" s="62" t="s">
        <v>112</v>
      </c>
      <c r="AR58" s="61"/>
      <c r="AS58" s="61"/>
      <c r="AT58" s="61"/>
      <c r="AU58" s="61"/>
      <c r="AV58" s="61"/>
      <c r="AW58" s="61"/>
      <c r="AX58" s="61">
        <v>152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120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</row>
    <row r="59" spans="1:128" ht="34.5" customHeight="1">
      <c r="A59" s="196" t="s">
        <v>26</v>
      </c>
      <c r="B59" s="196"/>
      <c r="C59" s="196"/>
      <c r="D59" s="196"/>
      <c r="E59" s="197"/>
      <c r="F59" s="82" t="s">
        <v>197</v>
      </c>
      <c r="G59" s="90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0</v>
      </c>
      <c r="J59" s="34">
        <f>VLOOKUP(завтрак4,таб,19,FALSE)</f>
        <v>20</v>
      </c>
      <c r="K59" s="35">
        <f>VLOOKUP(завтрак5,таб,19,FALSE)</f>
        <v>0</v>
      </c>
      <c r="L59" s="35">
        <f>VLOOKUP(завтрак6,таб,19,FALSE)</f>
        <v>0</v>
      </c>
      <c r="M59" s="28">
        <f>VLOOKUP(завтрак7,таб,19,FALSE)</f>
        <v>0</v>
      </c>
      <c r="N59" s="71">
        <f>VLOOKUP(завтрак8,таб,19,FALSE)</f>
        <v>0</v>
      </c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>
        <f>VLOOKUP(обед4,таб,19,FALSE)</f>
        <v>0</v>
      </c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79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>
        <f>VLOOKUP(ужин3,таб,19,FALSE)</f>
        <v>0</v>
      </c>
      <c r="AC59" s="34">
        <f>VLOOKUP(ужин4,таб,19,FALSE)</f>
        <v>0</v>
      </c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79">
        <f>VLOOKUP(ужин8,таб,19,FALSE)</f>
        <v>0</v>
      </c>
      <c r="AH59" s="162">
        <v>612075</v>
      </c>
      <c r="AI59" s="173">
        <f>AK59/сред</f>
        <v>0.02</v>
      </c>
      <c r="AJ59" s="174"/>
      <c r="AK59" s="165">
        <f>SUM(G60:AG60)</f>
        <v>0.5</v>
      </c>
      <c r="AL59" s="166"/>
      <c r="AM59" s="158">
        <f>IF(AK59=0,0,BI117)</f>
        <v>128</v>
      </c>
      <c r="AN59" s="160">
        <f>AK59*AM59</f>
        <v>64</v>
      </c>
      <c r="AP59">
        <v>58</v>
      </c>
      <c r="AQ59" s="62" t="s">
        <v>113</v>
      </c>
      <c r="AR59" s="61"/>
      <c r="AS59" s="61"/>
      <c r="AT59" s="61"/>
      <c r="AU59" s="61"/>
      <c r="AV59" s="61"/>
      <c r="AW59" s="61"/>
      <c r="AX59" s="61">
        <v>120</v>
      </c>
      <c r="AY59" s="61"/>
      <c r="AZ59" s="61"/>
      <c r="BA59" s="61"/>
      <c r="BB59" s="61"/>
      <c r="BC59" s="61">
        <v>3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>
        <v>14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80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</row>
    <row r="60" spans="1:128" ht="34.5" customHeight="1">
      <c r="A60" s="196"/>
      <c r="B60" s="196"/>
      <c r="C60" s="196"/>
      <c r="D60" s="196"/>
      <c r="E60" s="197"/>
      <c r="F60" s="83" t="s">
        <v>198</v>
      </c>
      <c r="G60" s="91">
        <f aca="true" t="shared" si="53" ref="G60:N60">IF(G59=0,"",завтракл*G59/1000)</f>
      </c>
      <c r="H60" s="47">
        <f t="shared" si="53"/>
      </c>
      <c r="I60" s="46">
        <f t="shared" si="53"/>
      </c>
      <c r="J60" s="47">
        <f t="shared" si="53"/>
        <v>0.5</v>
      </c>
      <c r="K60" s="46">
        <f t="shared" si="53"/>
      </c>
      <c r="L60" s="46">
        <f t="shared" si="53"/>
      </c>
      <c r="M60" s="46">
        <f t="shared" si="53"/>
      </c>
      <c r="N60" s="72">
        <f t="shared" si="53"/>
      </c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>
        <f t="shared" si="54"/>
      </c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72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>
        <f t="shared" si="55"/>
      </c>
      <c r="AC60" s="47">
        <f t="shared" si="55"/>
      </c>
      <c r="AD60" s="46">
        <f t="shared" si="55"/>
      </c>
      <c r="AE60" s="47">
        <f t="shared" si="55"/>
      </c>
      <c r="AF60" s="46">
        <f t="shared" si="55"/>
      </c>
      <c r="AG60" s="72">
        <f t="shared" si="55"/>
      </c>
      <c r="AH60" s="163"/>
      <c r="AI60" s="173"/>
      <c r="AJ60" s="174"/>
      <c r="AK60" s="167"/>
      <c r="AL60" s="168"/>
      <c r="AM60" s="159"/>
      <c r="AN60" s="161"/>
      <c r="AP60">
        <v>59</v>
      </c>
      <c r="AQ60" s="62" t="s">
        <v>114</v>
      </c>
      <c r="AR60" s="61"/>
      <c r="AS60" s="61"/>
      <c r="AT60" s="61"/>
      <c r="AU60" s="61"/>
      <c r="AV60" s="61"/>
      <c r="AW60" s="61"/>
      <c r="AX60" s="61">
        <v>120</v>
      </c>
      <c r="AY60" s="61"/>
      <c r="AZ60" s="61"/>
      <c r="BA60" s="61"/>
      <c r="BB60" s="61"/>
      <c r="BC60" s="61">
        <v>8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2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15</v>
      </c>
      <c r="CJ60" s="61">
        <v>34</v>
      </c>
      <c r="CK60" s="61"/>
      <c r="CL60" s="61"/>
      <c r="CM60" s="61">
        <v>1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150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</row>
    <row r="61" spans="1:128" ht="34.5" customHeight="1">
      <c r="A61" s="196" t="s">
        <v>27</v>
      </c>
      <c r="B61" s="196"/>
      <c r="C61" s="196"/>
      <c r="D61" s="196"/>
      <c r="E61" s="197"/>
      <c r="F61" s="82" t="s">
        <v>202</v>
      </c>
      <c r="G61" s="90">
        <f>VLOOKUP(завтрак1,таб,20,FALSE)</f>
        <v>0</v>
      </c>
      <c r="H61" s="34">
        <f>VLOOKUP(завтрак2,таб,20,FALSE)</f>
        <v>1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>
        <f>VLOOKUP(завтрак7,таб,20,FALSE)</f>
        <v>0</v>
      </c>
      <c r="N61" s="71">
        <f>VLOOKUP(завтрак8,таб,20,FALSE)</f>
        <v>0</v>
      </c>
      <c r="O61" s="36">
        <f>VLOOKUP(обед1,таб,20,FALSE)</f>
        <v>0</v>
      </c>
      <c r="P61" s="35">
        <f>VLOOKUP(обед2,таб,20,FALSE)</f>
        <v>0</v>
      </c>
      <c r="Q61" s="34">
        <f>VLOOKUP(обед3,таб,20,FALSE)</f>
        <v>0</v>
      </c>
      <c r="R61" s="35">
        <f>VLOOKUP(обед4,таб,20,FALSE)</f>
        <v>0</v>
      </c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>
        <f>VLOOKUP(полдник1,таб,20,FALSE)</f>
        <v>0.1</v>
      </c>
      <c r="X61" s="35">
        <f>VLOOKUP(полдник2,таб,20,FALSE)</f>
        <v>0</v>
      </c>
      <c r="Y61" s="79">
        <f>VLOOKUP(полдник3,таб,20,FALSE)</f>
        <v>0</v>
      </c>
      <c r="Z61" s="36">
        <f>VLOOKUP(ужин1,таб,20,FALSE)</f>
        <v>0</v>
      </c>
      <c r="AA61" s="34">
        <f>VLOOKUP(ужин2,таб,20,FALSE)</f>
        <v>0</v>
      </c>
      <c r="AB61" s="35">
        <f>VLOOKUP(ужин3,таб,20,FALSE)</f>
        <v>0</v>
      </c>
      <c r="AC61" s="34">
        <f>VLOOKUP(ужин4,таб,20,FALSE)</f>
        <v>0</v>
      </c>
      <c r="AD61" s="35">
        <f>VLOOKUP(ужин5,таб,20,FALSE)</f>
        <v>0</v>
      </c>
      <c r="AE61" s="34">
        <f>VLOOKUP(ужин6,таб,20,FALSE)</f>
        <v>0</v>
      </c>
      <c r="AF61" s="35">
        <f>VLOOKUP(ужин7,таб,20,FALSE)</f>
        <v>0</v>
      </c>
      <c r="AG61" s="79">
        <f>VLOOKUP(ужин8,таб,20,FALSE)</f>
        <v>0</v>
      </c>
      <c r="AH61" s="162">
        <v>612064</v>
      </c>
      <c r="AI61" s="173">
        <f>AK61/сред</f>
        <v>1.1</v>
      </c>
      <c r="AJ61" s="174"/>
      <c r="AK61" s="169">
        <f>SUM(G62:AG62)</f>
        <v>27.5</v>
      </c>
      <c r="AL61" s="170"/>
      <c r="AM61" s="158">
        <f>IF(AK61=0,0,BJ117)</f>
        <v>2.7</v>
      </c>
      <c r="AN61" s="160">
        <f>AK61*AM61</f>
        <v>74.25</v>
      </c>
      <c r="AP61">
        <v>60</v>
      </c>
      <c r="AQ61" s="62" t="s">
        <v>116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126</v>
      </c>
      <c r="BI61" s="61"/>
      <c r="BJ61" s="61">
        <v>0.1</v>
      </c>
      <c r="BK61" s="61"/>
      <c r="BL61" s="61">
        <v>30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150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</row>
    <row r="62" spans="1:128" ht="34.5" customHeight="1">
      <c r="A62" s="196"/>
      <c r="B62" s="196"/>
      <c r="C62" s="196"/>
      <c r="D62" s="196"/>
      <c r="E62" s="197"/>
      <c r="F62" s="83" t="s">
        <v>202</v>
      </c>
      <c r="G62" s="94">
        <f aca="true" t="shared" si="56" ref="G62:L62">IF(G61=0,"",завтракл*G61)</f>
      </c>
      <c r="H62" s="25">
        <f t="shared" si="56"/>
        <v>25</v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>
        <f>IF(M61=0,"",завтракл*M61)</f>
      </c>
      <c r="N62" s="73">
        <f>IF(N61=0,"",завтракл*N61)</f>
      </c>
      <c r="O62" s="26">
        <f aca="true" t="shared" si="57" ref="O62:V62">IF(O61=0,"",завтракл*O61)</f>
      </c>
      <c r="P62" s="24">
        <f t="shared" si="57"/>
      </c>
      <c r="Q62" s="25">
        <f t="shared" si="57"/>
      </c>
      <c r="R62" s="24">
        <f t="shared" si="57"/>
      </c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  <v>2.5</v>
      </c>
      <c r="X62" s="24">
        <f>IF(X61=0,"",полдникл*X61)</f>
      </c>
      <c r="Y62" s="73">
        <f>IF(Y61=0,"",полдникл*Y61)</f>
      </c>
      <c r="Z62" s="26">
        <f aca="true" t="shared" si="58" ref="Z62:AG62">IF(Z61=0,"",ужинл*Z61)</f>
      </c>
      <c r="AA62" s="25">
        <f t="shared" si="58"/>
      </c>
      <c r="AB62" s="24">
        <f t="shared" si="58"/>
      </c>
      <c r="AC62" s="25">
        <f t="shared" si="58"/>
      </c>
      <c r="AD62" s="24">
        <f t="shared" si="58"/>
      </c>
      <c r="AE62" s="25">
        <f t="shared" si="58"/>
      </c>
      <c r="AF62" s="24">
        <f t="shared" si="58"/>
      </c>
      <c r="AG62" s="73">
        <f t="shared" si="58"/>
      </c>
      <c r="AH62" s="163"/>
      <c r="AI62" s="173"/>
      <c r="AJ62" s="174"/>
      <c r="AK62" s="171"/>
      <c r="AL62" s="172"/>
      <c r="AM62" s="159"/>
      <c r="AN62" s="161"/>
      <c r="AP62">
        <v>61</v>
      </c>
      <c r="AQ62" s="62" t="s">
        <v>117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4</v>
      </c>
      <c r="BD62" s="61"/>
      <c r="BE62" s="61"/>
      <c r="BF62" s="61"/>
      <c r="BG62" s="61">
        <v>25</v>
      </c>
      <c r="BH62" s="61">
        <v>136</v>
      </c>
      <c r="BI62" s="61"/>
      <c r="BJ62" s="61">
        <v>0.1</v>
      </c>
      <c r="BK62" s="61"/>
      <c r="BL62" s="61">
        <v>20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15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 t="s">
        <v>294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</row>
    <row r="63" spans="1:128" ht="34.5" customHeight="1">
      <c r="A63" s="237" t="s">
        <v>358</v>
      </c>
      <c r="B63" s="237"/>
      <c r="C63" s="237"/>
      <c r="D63" s="237"/>
      <c r="E63" s="238"/>
      <c r="F63" s="82" t="s">
        <v>197</v>
      </c>
      <c r="G63" s="93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>
        <f>VLOOKUP(завтрак7,таб,21,FALSE)</f>
        <v>0</v>
      </c>
      <c r="N63" s="71">
        <f>VLOOKUP(завтрак8,таб,21,FALSE)</f>
        <v>0</v>
      </c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>
        <f>VLOOKUP(обед4,таб,21,FALSE)</f>
        <v>0</v>
      </c>
      <c r="S63" s="37">
        <f>VLOOKUP(обед5,таб,21,FALSE)</f>
        <v>0</v>
      </c>
      <c r="T63" s="38">
        <f>VLOOKUP(обед6,таб,21,FALSE)</f>
        <v>0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208</v>
      </c>
      <c r="Y63" s="80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>
        <f>VLOOKUP(ужин3,таб,21,FALSE)</f>
        <v>0</v>
      </c>
      <c r="AC63" s="37">
        <f>VLOOKUP(ужин4,таб,21,FALSE)</f>
        <v>0</v>
      </c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80">
        <f>VLOOKUP(ужин8,таб,21,FALSE)</f>
        <v>0</v>
      </c>
      <c r="AH63" s="162">
        <v>612112</v>
      </c>
      <c r="AI63" s="173">
        <f>AK63/сред</f>
        <v>0.20800000000000002</v>
      </c>
      <c r="AJ63" s="174"/>
      <c r="AK63" s="165">
        <f>SUM(G64:AG64)</f>
        <v>5.2</v>
      </c>
      <c r="AL63" s="166"/>
      <c r="AM63" s="158">
        <f>IF(AK63=0,0,BK117)</f>
        <v>33.02</v>
      </c>
      <c r="AN63" s="160">
        <f>AK63*AM63</f>
        <v>171.70400000000004</v>
      </c>
      <c r="AP63">
        <v>62</v>
      </c>
      <c r="AQ63" s="62" t="s">
        <v>118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4</v>
      </c>
      <c r="BD63" s="61"/>
      <c r="BE63" s="61"/>
      <c r="BF63" s="61"/>
      <c r="BG63" s="61"/>
      <c r="BH63" s="61">
        <v>136</v>
      </c>
      <c r="BI63" s="61"/>
      <c r="BJ63" s="61">
        <v>0.1</v>
      </c>
      <c r="BK63" s="61"/>
      <c r="BL63" s="61">
        <v>20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15</v>
      </c>
      <c r="BX63" s="61"/>
      <c r="BY63" s="61"/>
      <c r="BZ63" s="61"/>
      <c r="CA63" s="61"/>
      <c r="CB63" s="61"/>
      <c r="CC63" s="61"/>
      <c r="CD63" s="61"/>
      <c r="CE63" s="61">
        <v>20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296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</row>
    <row r="64" spans="1:128" ht="34.5" customHeight="1">
      <c r="A64" s="239"/>
      <c r="B64" s="239"/>
      <c r="C64" s="239"/>
      <c r="D64" s="239"/>
      <c r="E64" s="240"/>
      <c r="F64" s="83" t="s">
        <v>198</v>
      </c>
      <c r="G64" s="92">
        <f aca="true" t="shared" si="59" ref="G64:N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>
        <f t="shared" si="59"/>
      </c>
      <c r="N64" s="72">
        <f t="shared" si="59"/>
      </c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>
        <f t="shared" si="60"/>
      </c>
      <c r="S64" s="49">
        <f t="shared" si="60"/>
      </c>
      <c r="T64" s="45">
        <f t="shared" si="60"/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  <v>5.2</v>
      </c>
      <c r="Y64" s="77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>
        <f t="shared" si="61"/>
      </c>
      <c r="AC64" s="49">
        <f t="shared" si="61"/>
      </c>
      <c r="AD64" s="45">
        <f t="shared" si="61"/>
      </c>
      <c r="AE64" s="49">
        <f t="shared" si="61"/>
      </c>
      <c r="AF64" s="45">
        <f t="shared" si="61"/>
      </c>
      <c r="AG64" s="77">
        <f t="shared" si="61"/>
      </c>
      <c r="AH64" s="163"/>
      <c r="AI64" s="173"/>
      <c r="AJ64" s="174"/>
      <c r="AK64" s="167"/>
      <c r="AL64" s="168"/>
      <c r="AM64" s="159"/>
      <c r="AN64" s="161"/>
      <c r="AP64">
        <v>63</v>
      </c>
      <c r="AQ64" s="62" t="s">
        <v>246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4</v>
      </c>
      <c r="BD64" s="61"/>
      <c r="BE64" s="61"/>
      <c r="BF64" s="61"/>
      <c r="BG64" s="61">
        <v>25</v>
      </c>
      <c r="BH64" s="61">
        <v>141</v>
      </c>
      <c r="BI64" s="61"/>
      <c r="BJ64" s="61">
        <v>0.1</v>
      </c>
      <c r="BK64" s="61"/>
      <c r="BL64" s="61"/>
      <c r="BM64" s="61"/>
      <c r="BN64" s="61"/>
      <c r="BO64" s="61">
        <v>10.5</v>
      </c>
      <c r="BP64" s="61"/>
      <c r="BQ64" s="61"/>
      <c r="BR64" s="61"/>
      <c r="BS64" s="61"/>
      <c r="BT64" s="61"/>
      <c r="BU64" s="61"/>
      <c r="BV64" s="61"/>
      <c r="BW64" s="61">
        <v>10.5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294</v>
      </c>
      <c r="DF64" s="61"/>
      <c r="DG64" s="61"/>
      <c r="DH64" s="61"/>
      <c r="DI64" s="61">
        <v>4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</row>
    <row r="65" spans="1:128" ht="34.5" customHeight="1">
      <c r="A65" s="196" t="s">
        <v>134</v>
      </c>
      <c r="B65" s="196"/>
      <c r="C65" s="196"/>
      <c r="D65" s="196"/>
      <c r="E65" s="197"/>
      <c r="F65" s="82" t="s">
        <v>197</v>
      </c>
      <c r="G65" s="90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>
        <f>VLOOKUP(завтрак7,таб,22,FALSE)</f>
        <v>0</v>
      </c>
      <c r="N65" s="71">
        <f>VLOOKUP(завтрак8,таб,22,FALSE)</f>
        <v>0</v>
      </c>
      <c r="O65" s="36">
        <f>VLOOKUP(обед1,таб,22,FALSE)</f>
        <v>2</v>
      </c>
      <c r="P65" s="35">
        <f>VLOOKUP(обед2,таб,22,FALSE)</f>
        <v>0</v>
      </c>
      <c r="Q65" s="34">
        <f>VLOOKUP(обед3,таб,22,FALSE)</f>
        <v>0</v>
      </c>
      <c r="R65" s="35">
        <f>VLOOKUP(обед4,таб,22,FALSE)</f>
        <v>0</v>
      </c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f>VLOOKUP(полдник1,таб,22,FALSE)</f>
        <v>0</v>
      </c>
      <c r="X65" s="35">
        <f>VLOOKUP(полдник2,таб,22,FALSE)</f>
        <v>0</v>
      </c>
      <c r="Y65" s="79">
        <f>VLOOKUP(полдник3,таб,22,FALSE)</f>
        <v>0</v>
      </c>
      <c r="Z65" s="36">
        <f>VLOOKUP(ужин1,таб,22,FALSE)</f>
        <v>0</v>
      </c>
      <c r="AA65" s="34">
        <f>VLOOKUP(ужин2,таб,22,FALSE)</f>
        <v>0</v>
      </c>
      <c r="AB65" s="35">
        <f>VLOOKUP(ужин3,таб,22,FALSE)</f>
        <v>0</v>
      </c>
      <c r="AC65" s="34">
        <f>VLOOKUP(ужин4,таб,22,FALSE)</f>
        <v>0</v>
      </c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79">
        <f>VLOOKUP(ужин8,таб,22,FALSE)</f>
        <v>0</v>
      </c>
      <c r="AH65" s="162">
        <v>613001</v>
      </c>
      <c r="AI65" s="173">
        <f>AK65/сред</f>
        <v>0.002</v>
      </c>
      <c r="AJ65" s="174"/>
      <c r="AK65" s="165">
        <f>SUM(G66:AG66)</f>
        <v>0.05</v>
      </c>
      <c r="AL65" s="166"/>
      <c r="AM65" s="158">
        <f>IF(AK65=0,0,BL117)</f>
        <v>11.4</v>
      </c>
      <c r="AN65" s="160">
        <f>AK65*AM65</f>
        <v>0.5700000000000001</v>
      </c>
      <c r="AP65">
        <v>64</v>
      </c>
      <c r="AQ65" s="62" t="s">
        <v>247</v>
      </c>
      <c r="AR65" s="61"/>
      <c r="AS65" s="61"/>
      <c r="AT65" s="61"/>
      <c r="AU65" s="61"/>
      <c r="AV65" s="61"/>
      <c r="AW65" s="61"/>
      <c r="AX65" s="61"/>
      <c r="AY65" s="61"/>
      <c r="AZ65" s="61">
        <v>4.5</v>
      </c>
      <c r="BA65" s="61"/>
      <c r="BB65" s="61"/>
      <c r="BC65" s="61">
        <v>3</v>
      </c>
      <c r="BD65" s="61"/>
      <c r="BE65" s="61"/>
      <c r="BF65" s="61"/>
      <c r="BG65" s="61">
        <v>25</v>
      </c>
      <c r="BH65" s="61">
        <v>38</v>
      </c>
      <c r="BI65" s="61"/>
      <c r="BJ65" s="61">
        <v>0.1</v>
      </c>
      <c r="BK65" s="61"/>
      <c r="BL65" s="61"/>
      <c r="BM65" s="61"/>
      <c r="BN65" s="61"/>
      <c r="BO65" s="61">
        <v>15</v>
      </c>
      <c r="BP65" s="61"/>
      <c r="BQ65" s="61"/>
      <c r="BR65" s="61"/>
      <c r="BS65" s="61"/>
      <c r="BT65" s="61"/>
      <c r="BU65" s="61"/>
      <c r="BV65" s="61"/>
      <c r="BW65" s="61">
        <v>8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119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294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</row>
    <row r="66" spans="1:128" ht="34.5" customHeight="1">
      <c r="A66" s="196"/>
      <c r="B66" s="196"/>
      <c r="C66" s="196"/>
      <c r="D66" s="196"/>
      <c r="E66" s="197"/>
      <c r="F66" s="83" t="s">
        <v>198</v>
      </c>
      <c r="G66" s="91">
        <f aca="true" t="shared" si="62" ref="G66:N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>
        <f t="shared" si="62"/>
      </c>
      <c r="N66" s="72">
        <f t="shared" si="62"/>
      </c>
      <c r="O66" s="48">
        <f aca="true" t="shared" si="63" ref="O66:T66">IF(O65=0,"",обідл*O65/1000)</f>
        <v>0.05</v>
      </c>
      <c r="P66" s="46">
        <f t="shared" si="63"/>
      </c>
      <c r="Q66" s="47">
        <f t="shared" si="63"/>
      </c>
      <c r="R66" s="46">
        <f t="shared" si="63"/>
      </c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</c>
      <c r="X66" s="46">
        <f>IF(X65=0,"",полдникл*X65/1000)</f>
      </c>
      <c r="Y66" s="72">
        <f>IF(Y65=0,"",полдникл*Y65/1000)</f>
      </c>
      <c r="Z66" s="48">
        <f aca="true" t="shared" si="64" ref="Z66:AG66">IF(Z65=0,"",ужинл*Z65/1000)</f>
      </c>
      <c r="AA66" s="47">
        <f t="shared" si="64"/>
      </c>
      <c r="AB66" s="46">
        <f t="shared" si="64"/>
      </c>
      <c r="AC66" s="47">
        <f t="shared" si="64"/>
      </c>
      <c r="AD66" s="46">
        <f t="shared" si="64"/>
      </c>
      <c r="AE66" s="47">
        <f t="shared" si="64"/>
      </c>
      <c r="AF66" s="46">
        <f t="shared" si="64"/>
      </c>
      <c r="AG66" s="72">
        <f t="shared" si="64"/>
      </c>
      <c r="AH66" s="163"/>
      <c r="AI66" s="173"/>
      <c r="AJ66" s="174"/>
      <c r="AK66" s="167"/>
      <c r="AL66" s="168"/>
      <c r="AM66" s="159"/>
      <c r="AN66" s="161"/>
      <c r="AP66">
        <v>65</v>
      </c>
      <c r="AQ66" s="62" t="s">
        <v>248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27</v>
      </c>
      <c r="BE66" s="61"/>
      <c r="BF66" s="61"/>
      <c r="BG66" s="61">
        <v>25</v>
      </c>
      <c r="BH66" s="61">
        <v>84</v>
      </c>
      <c r="BI66" s="61"/>
      <c r="BJ66" s="61">
        <v>0.1</v>
      </c>
      <c r="BK66" s="61"/>
      <c r="BL66" s="61"/>
      <c r="BM66" s="61"/>
      <c r="BN66" s="61"/>
      <c r="BO66" s="61">
        <v>10.5</v>
      </c>
      <c r="BP66" s="61"/>
      <c r="BQ66" s="61"/>
      <c r="BR66" s="61"/>
      <c r="BS66" s="61"/>
      <c r="BT66" s="61"/>
      <c r="BU66" s="61"/>
      <c r="BV66" s="61"/>
      <c r="BW66" s="61">
        <v>10.5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34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294</v>
      </c>
      <c r="DF66" s="61"/>
      <c r="DG66" s="61"/>
      <c r="DH66" s="61"/>
      <c r="DI66" s="61">
        <v>5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</row>
    <row r="67" spans="1:128" ht="34.5" customHeight="1">
      <c r="A67" s="237" t="s">
        <v>28</v>
      </c>
      <c r="B67" s="237"/>
      <c r="C67" s="237"/>
      <c r="D67" s="237"/>
      <c r="E67" s="238"/>
      <c r="F67" s="82" t="s">
        <v>197</v>
      </c>
      <c r="G67" s="93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>
        <f>VLOOKUP(завтрак7,таб,23,FALSE)</f>
        <v>0</v>
      </c>
      <c r="N67" s="71">
        <f>VLOOKUP(завтрак8,таб,23,FALSE)</f>
        <v>0</v>
      </c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>
        <f>VLOOKUP(обед4,таб,23,FALSE)</f>
        <v>0</v>
      </c>
      <c r="S67" s="37">
        <f>VLOOKUP(обед5,таб,23,FALSE)</f>
        <v>0</v>
      </c>
      <c r="T67" s="38">
        <f>VLOOKUP(обед6,таб,23,FALSE)</f>
        <v>0</v>
      </c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80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>
        <f>VLOOKUP(ужин3,таб,23,FALSE)</f>
        <v>0</v>
      </c>
      <c r="AC67" s="37">
        <f>VLOOKUP(ужин4,таб,23,FALSE)</f>
        <v>0</v>
      </c>
      <c r="AD67" s="38">
        <f>VLOOKUP(ужин5,таб,23,FALSE)</f>
        <v>0</v>
      </c>
      <c r="AE67" s="37">
        <f>VLOOKUP(ужин6,таб,23,FALSE)</f>
        <v>8</v>
      </c>
      <c r="AF67" s="38">
        <f>VLOOKUP(ужин7,таб,23,FALSE)</f>
        <v>0</v>
      </c>
      <c r="AG67" s="80">
        <f>VLOOKUP(ужин8,таб,23,FALSE)</f>
        <v>0</v>
      </c>
      <c r="AH67" s="162">
        <v>613016</v>
      </c>
      <c r="AI67" s="173">
        <f>AK67/сред</f>
        <v>0.008</v>
      </c>
      <c r="AJ67" s="174"/>
      <c r="AK67" s="165">
        <f>SUM(G68:AG68)</f>
        <v>0.2</v>
      </c>
      <c r="AL67" s="166"/>
      <c r="AM67" s="158">
        <f>IF(AK67=0,0,BM117)</f>
        <v>75</v>
      </c>
      <c r="AN67" s="160">
        <f>AK67*AM67</f>
        <v>15</v>
      </c>
      <c r="AP67">
        <v>66</v>
      </c>
      <c r="AQ67" s="62" t="s">
        <v>249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12</v>
      </c>
      <c r="BD67" s="61">
        <v>100</v>
      </c>
      <c r="BE67" s="61"/>
      <c r="BF67" s="61"/>
      <c r="BG67" s="61">
        <v>25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50</v>
      </c>
      <c r="BS67" s="61"/>
      <c r="BT67" s="61"/>
      <c r="BU67" s="61"/>
      <c r="BV67" s="61"/>
      <c r="BW67" s="61">
        <v>14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57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 t="s">
        <v>297</v>
      </c>
      <c r="DF67" s="61"/>
      <c r="DG67" s="61"/>
      <c r="DH67" s="61"/>
      <c r="DI67" s="61">
        <v>6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</row>
    <row r="68" spans="1:128" ht="34.5" customHeight="1">
      <c r="A68" s="239"/>
      <c r="B68" s="239"/>
      <c r="C68" s="239"/>
      <c r="D68" s="239"/>
      <c r="E68" s="240"/>
      <c r="F68" s="83" t="s">
        <v>198</v>
      </c>
      <c r="G68" s="92">
        <f aca="true" t="shared" si="65" ref="G68:N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>
        <f t="shared" si="65"/>
      </c>
      <c r="N68" s="72">
        <f t="shared" si="65"/>
      </c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>
        <f t="shared" si="66"/>
      </c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</c>
      <c r="Y68" s="77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>
        <f t="shared" si="67"/>
      </c>
      <c r="AC68" s="49">
        <f t="shared" si="67"/>
      </c>
      <c r="AD68" s="45">
        <f t="shared" si="67"/>
      </c>
      <c r="AE68" s="49">
        <f t="shared" si="67"/>
        <v>0.2</v>
      </c>
      <c r="AF68" s="45">
        <f t="shared" si="67"/>
      </c>
      <c r="AG68" s="77">
        <f t="shared" si="67"/>
      </c>
      <c r="AH68" s="163"/>
      <c r="AI68" s="173"/>
      <c r="AJ68" s="174"/>
      <c r="AK68" s="167"/>
      <c r="AL68" s="168"/>
      <c r="AM68" s="159"/>
      <c r="AN68" s="161"/>
      <c r="AP68">
        <v>67</v>
      </c>
      <c r="AQ68" s="62" t="s">
        <v>250</v>
      </c>
      <c r="AR68" s="61"/>
      <c r="AS68" s="61"/>
      <c r="AT68" s="61"/>
      <c r="AU68" s="61"/>
      <c r="AV68" s="61"/>
      <c r="AW68" s="61"/>
      <c r="AX68" s="61"/>
      <c r="AY68" s="61"/>
      <c r="AZ68" s="61">
        <v>3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57</v>
      </c>
      <c r="BI68" s="61"/>
      <c r="BJ68" s="61">
        <v>0.1</v>
      </c>
      <c r="BK68" s="61"/>
      <c r="BL68" s="61">
        <v>80.2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20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150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</row>
    <row r="69" spans="1:128" ht="31.5" customHeight="1">
      <c r="A69" s="196" t="s">
        <v>29</v>
      </c>
      <c r="B69" s="196"/>
      <c r="C69" s="196"/>
      <c r="D69" s="196"/>
      <c r="E69" s="197"/>
      <c r="F69" s="82" t="s">
        <v>197</v>
      </c>
      <c r="G69" s="90">
        <f>VLOOKUP(завтрак1,таб,24,FALSE)</f>
        <v>0</v>
      </c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>
        <f>VLOOKUP(завтрак7,таб,24,FALSE)</f>
        <v>0</v>
      </c>
      <c r="N69" s="71">
        <f>VLOOKUP(завтрак8,таб,24,FALSE)</f>
        <v>0</v>
      </c>
      <c r="O69" s="36">
        <f>VLOOKUP(обед1,таб,24,FALSE)</f>
        <v>0</v>
      </c>
      <c r="P69" s="35">
        <f>VLOOKUP(обед2,таб,24,FALSE)</f>
        <v>0</v>
      </c>
      <c r="Q69" s="34">
        <f>VLOOKUP(обед3,таб,24,FALSE)</f>
        <v>0</v>
      </c>
      <c r="R69" s="35">
        <f>VLOOKUP(обед4,таб,24,FALSE)</f>
        <v>0</v>
      </c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79">
        <f>VLOOKUP(полдник3,таб,24,FALSE)</f>
        <v>0</v>
      </c>
      <c r="Z69" s="36">
        <f>VLOOKUP(ужин1,таб,24,FALSE)</f>
        <v>0</v>
      </c>
      <c r="AA69" s="34">
        <f>VLOOKUP(ужин2,таб,24,FALSE)</f>
        <v>0</v>
      </c>
      <c r="AB69" s="35">
        <f>VLOOKUP(ужин3,таб,24,FALSE)</f>
        <v>0</v>
      </c>
      <c r="AC69" s="34">
        <f>VLOOKUP(ужин4,таб,24,FALSE)</f>
        <v>0</v>
      </c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79">
        <f>VLOOKUP(ужин8,таб,24,FALSE)</f>
        <v>0</v>
      </c>
      <c r="AH69" s="162">
        <v>613029</v>
      </c>
      <c r="AI69" s="173">
        <f>AK69/сред</f>
        <v>0</v>
      </c>
      <c r="AJ69" s="174"/>
      <c r="AK69" s="165">
        <f>SUM(G70:AG70)</f>
        <v>0</v>
      </c>
      <c r="AL69" s="166"/>
      <c r="AM69" s="158">
        <f>IF(AK69=0,0,BN117)</f>
        <v>0</v>
      </c>
      <c r="AN69" s="160">
        <f>AK69*AM69</f>
        <v>0</v>
      </c>
      <c r="AP69">
        <v>68</v>
      </c>
      <c r="AQ69" s="62" t="s">
        <v>119</v>
      </c>
      <c r="AR69" s="61"/>
      <c r="AS69" s="61"/>
      <c r="AT69" s="61"/>
      <c r="AU69" s="61"/>
      <c r="AV69" s="61"/>
      <c r="AW69" s="61"/>
      <c r="AX69" s="61"/>
      <c r="AY69" s="61"/>
      <c r="AZ69" s="61">
        <v>3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80.2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20</v>
      </c>
      <c r="BX69" s="61"/>
      <c r="BY69" s="61"/>
      <c r="BZ69" s="61"/>
      <c r="CA69" s="61"/>
      <c r="CB69" s="61"/>
      <c r="CC69" s="61"/>
      <c r="CD69" s="61"/>
      <c r="CE69" s="61"/>
      <c r="CF69" s="61">
        <v>144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150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</row>
    <row r="70" spans="1:128" ht="31.5" customHeight="1">
      <c r="A70" s="196"/>
      <c r="B70" s="196"/>
      <c r="C70" s="196"/>
      <c r="D70" s="196"/>
      <c r="E70" s="197"/>
      <c r="F70" s="83" t="s">
        <v>198</v>
      </c>
      <c r="G70" s="91">
        <f aca="true" t="shared" si="68" ref="G70:N70">IF(G69=0,"",завтракл*G69/1000)</f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>
        <f t="shared" si="68"/>
      </c>
      <c r="N70" s="72">
        <f t="shared" si="68"/>
      </c>
      <c r="O70" s="48">
        <f aca="true" t="shared" si="69" ref="O70:T70">IF(O69=0,"",обідл*O69/1000)</f>
      </c>
      <c r="P70" s="46">
        <f t="shared" si="69"/>
      </c>
      <c r="Q70" s="47">
        <f t="shared" si="69"/>
      </c>
      <c r="R70" s="46">
        <f t="shared" si="69"/>
      </c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72">
        <f>IF(Y69=0,"",полдникл*Y69/1000)</f>
      </c>
      <c r="Z70" s="48">
        <f aca="true" t="shared" si="70" ref="Z70:AG70">IF(Z69=0,"",ужинл*Z69/1000)</f>
      </c>
      <c r="AA70" s="47">
        <f t="shared" si="70"/>
      </c>
      <c r="AB70" s="46">
        <f t="shared" si="70"/>
      </c>
      <c r="AC70" s="47">
        <f t="shared" si="70"/>
      </c>
      <c r="AD70" s="46">
        <f t="shared" si="70"/>
      </c>
      <c r="AE70" s="47">
        <f t="shared" si="70"/>
      </c>
      <c r="AF70" s="46">
        <f t="shared" si="70"/>
      </c>
      <c r="AG70" s="72">
        <f t="shared" si="70"/>
      </c>
      <c r="AH70" s="163"/>
      <c r="AI70" s="173"/>
      <c r="AJ70" s="174"/>
      <c r="AK70" s="167"/>
      <c r="AL70" s="168"/>
      <c r="AM70" s="159"/>
      <c r="AN70" s="161"/>
      <c r="AP70">
        <v>69</v>
      </c>
      <c r="AQ70" s="62" t="s">
        <v>120</v>
      </c>
      <c r="AR70" s="61"/>
      <c r="AS70" s="61"/>
      <c r="AT70" s="61"/>
      <c r="AU70" s="61"/>
      <c r="AV70" s="61"/>
      <c r="AW70" s="61"/>
      <c r="AX70" s="61"/>
      <c r="AY70" s="61"/>
      <c r="AZ70" s="61">
        <v>7</v>
      </c>
      <c r="BA70" s="61"/>
      <c r="BB70" s="61"/>
      <c r="BC70" s="61"/>
      <c r="BD70" s="61">
        <v>206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59</v>
      </c>
      <c r="BO70" s="61"/>
      <c r="BP70" s="61"/>
      <c r="BQ70" s="61"/>
      <c r="BR70" s="61"/>
      <c r="BS70" s="61"/>
      <c r="BT70" s="61"/>
      <c r="BU70" s="61"/>
      <c r="BV70" s="61"/>
      <c r="BW70" s="61">
        <v>15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300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</row>
    <row r="71" spans="1:128" ht="31.5" customHeight="1">
      <c r="A71" s="237" t="s">
        <v>30</v>
      </c>
      <c r="B71" s="237"/>
      <c r="C71" s="237"/>
      <c r="D71" s="237"/>
      <c r="E71" s="238"/>
      <c r="F71" s="82" t="s">
        <v>197</v>
      </c>
      <c r="G71" s="93">
        <f>VLOOKUP(завтрак1,таб,25,FALSE)</f>
        <v>0</v>
      </c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>
        <f>VLOOKUP(завтрак7,таб,25,FALSE)</f>
        <v>0</v>
      </c>
      <c r="N71" s="71">
        <f>VLOOKUP(завтрак8,таб,25,FALSE)</f>
        <v>0</v>
      </c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>
        <f>VLOOKUP(обед4,таб,25,FALSE)</f>
        <v>0</v>
      </c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>
        <f>VLOOKUP(полдник1,таб,25,FALSE)</f>
        <v>10.5</v>
      </c>
      <c r="X71" s="38">
        <f>VLOOKUP(полдник2,таб,25,FALSE)</f>
        <v>0</v>
      </c>
      <c r="Y71" s="80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>
        <f>VLOOKUP(ужин3,таб,25,FALSE)</f>
        <v>0</v>
      </c>
      <c r="AC71" s="37">
        <f>VLOOKUP(ужин4,таб,25,FALSE)</f>
        <v>0</v>
      </c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80">
        <f>VLOOKUP(ужин8,таб,25,FALSE)</f>
        <v>0</v>
      </c>
      <c r="AH71" s="162">
        <v>613036</v>
      </c>
      <c r="AI71" s="173">
        <f>AK71/сред</f>
        <v>0.0105</v>
      </c>
      <c r="AJ71" s="174"/>
      <c r="AK71" s="165">
        <f>SUM(G72:AG72)</f>
        <v>0.2625</v>
      </c>
      <c r="AL71" s="166"/>
      <c r="AM71" s="158">
        <f>IF(AK71=0,0,BO117)</f>
        <v>16.1</v>
      </c>
      <c r="AN71" s="160">
        <f>AK71*AM71</f>
        <v>4.22625</v>
      </c>
      <c r="AP71">
        <v>70</v>
      </c>
      <c r="AQ71" s="62" t="s">
        <v>97</v>
      </c>
      <c r="AR71" s="61"/>
      <c r="AS71" s="61"/>
      <c r="AT71" s="61"/>
      <c r="AU71" s="61"/>
      <c r="AV71" s="61"/>
      <c r="AW71" s="61"/>
      <c r="AX71" s="61"/>
      <c r="AY71" s="61"/>
      <c r="AZ71" s="61">
        <v>10</v>
      </c>
      <c r="BA71" s="61"/>
      <c r="BB71" s="61"/>
      <c r="BC71" s="61"/>
      <c r="BD71" s="61">
        <v>400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25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400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</row>
    <row r="72" spans="1:128" ht="31.5" customHeight="1">
      <c r="A72" s="239"/>
      <c r="B72" s="239"/>
      <c r="C72" s="239"/>
      <c r="D72" s="239"/>
      <c r="E72" s="240"/>
      <c r="F72" s="83" t="s">
        <v>198</v>
      </c>
      <c r="G72" s="92">
        <f aca="true" t="shared" si="71" ref="G72:N72">IF(G71=0,"",завтракл*G71/1000)</f>
      </c>
      <c r="H72" s="49">
        <f t="shared" si="71"/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>
        <f t="shared" si="71"/>
      </c>
      <c r="N72" s="72">
        <f t="shared" si="71"/>
      </c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>
        <f t="shared" si="72"/>
      </c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  <v>0.2625</v>
      </c>
      <c r="X72" s="45">
        <f>IF(X71=0,"",полдникл*X71/1000)</f>
      </c>
      <c r="Y72" s="77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>
        <f t="shared" si="73"/>
      </c>
      <c r="AC72" s="49">
        <f t="shared" si="73"/>
      </c>
      <c r="AD72" s="45">
        <f t="shared" si="73"/>
      </c>
      <c r="AE72" s="49">
        <f t="shared" si="73"/>
      </c>
      <c r="AF72" s="45">
        <f t="shared" si="73"/>
      </c>
      <c r="AG72" s="77">
        <f t="shared" si="73"/>
      </c>
      <c r="AH72" s="163"/>
      <c r="AI72" s="173"/>
      <c r="AJ72" s="174"/>
      <c r="AK72" s="167"/>
      <c r="AL72" s="168"/>
      <c r="AM72" s="159"/>
      <c r="AN72" s="161"/>
      <c r="AP72">
        <v>71</v>
      </c>
      <c r="AQ72" s="62" t="s">
        <v>121</v>
      </c>
      <c r="AR72" s="61"/>
      <c r="AS72" s="61"/>
      <c r="AT72" s="61"/>
      <c r="AU72" s="61"/>
      <c r="AV72" s="61"/>
      <c r="AW72" s="61"/>
      <c r="AX72" s="61"/>
      <c r="AY72" s="61"/>
      <c r="AZ72" s="61">
        <v>7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45</v>
      </c>
      <c r="BP72" s="61"/>
      <c r="BQ72" s="61"/>
      <c r="BR72" s="61"/>
      <c r="BS72" s="61"/>
      <c r="BT72" s="61"/>
      <c r="BU72" s="61"/>
      <c r="BV72" s="61"/>
      <c r="BW72" s="61">
        <v>10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300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</row>
    <row r="73" spans="1:128" ht="31.5" customHeight="1">
      <c r="A73" s="196" t="s">
        <v>34</v>
      </c>
      <c r="B73" s="196"/>
      <c r="C73" s="196"/>
      <c r="D73" s="196"/>
      <c r="E73" s="197"/>
      <c r="F73" s="82" t="s">
        <v>197</v>
      </c>
      <c r="G73" s="90">
        <v>45</v>
      </c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>
        <f>VLOOKUP(завтрак7,таб,26,FALSE)</f>
        <v>0</v>
      </c>
      <c r="N73" s="71">
        <f>VLOOKUP(завтрак8,таб,26,FALSE)</f>
        <v>0</v>
      </c>
      <c r="O73" s="36">
        <f>VLOOKUP(обед1,таб,26,FALSE)</f>
        <v>0</v>
      </c>
      <c r="P73" s="35">
        <f>VLOOKUP(обед2,таб,26,FALSE)</f>
        <v>0</v>
      </c>
      <c r="Q73" s="34">
        <f>VLOOKUP(обед3,таб,26,FALSE)</f>
        <v>0</v>
      </c>
      <c r="R73" s="35">
        <f>VLOOKUP(обед4,таб,26,FALSE)</f>
        <v>0</v>
      </c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79">
        <f>VLOOKUP(полдник3,таб,26,FALSE)</f>
        <v>0</v>
      </c>
      <c r="Z73" s="36">
        <f>VLOOKUP(ужин1,таб,26,FALSE)</f>
        <v>0</v>
      </c>
      <c r="AA73" s="34">
        <f>VLOOKUP(ужин2,таб,26,FALSE)</f>
        <v>0</v>
      </c>
      <c r="AB73" s="35">
        <f>VLOOKUP(ужин3,таб,26,FALSE)</f>
        <v>0</v>
      </c>
      <c r="AC73" s="34">
        <f>VLOOKUP(ужин4,таб,26,FALSE)</f>
        <v>0</v>
      </c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79">
        <f>VLOOKUP(ужин8,таб,26,FALSE)</f>
        <v>0</v>
      </c>
      <c r="AH73" s="162"/>
      <c r="AI73" s="173">
        <f>AK73/сред</f>
        <v>0.045</v>
      </c>
      <c r="AJ73" s="174"/>
      <c r="AK73" s="165">
        <f>SUM(G74:AG74)</f>
        <v>1.125</v>
      </c>
      <c r="AL73" s="166"/>
      <c r="AM73" s="158">
        <f>IF(AK73=0,0,BP117)</f>
        <v>11.25</v>
      </c>
      <c r="AN73" s="160">
        <f>AK73*AM73</f>
        <v>12.65625</v>
      </c>
      <c r="AP73">
        <v>72</v>
      </c>
      <c r="AQ73" s="62" t="s">
        <v>123</v>
      </c>
      <c r="AR73" s="61"/>
      <c r="AS73" s="61"/>
      <c r="AT73" s="61"/>
      <c r="AU73" s="61"/>
      <c r="AV73" s="61"/>
      <c r="AW73" s="61"/>
      <c r="AX73" s="61"/>
      <c r="AY73" s="61"/>
      <c r="AZ73" s="61">
        <v>7.5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60</v>
      </c>
      <c r="BU73" s="61"/>
      <c r="BV73" s="61"/>
      <c r="BW73" s="61">
        <v>10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300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</row>
    <row r="74" spans="1:128" ht="31.5" customHeight="1">
      <c r="A74" s="196"/>
      <c r="B74" s="196"/>
      <c r="C74" s="196"/>
      <c r="D74" s="196"/>
      <c r="E74" s="197"/>
      <c r="F74" s="83" t="s">
        <v>198</v>
      </c>
      <c r="G74" s="91">
        <f aca="true" t="shared" si="74" ref="G74:N74">IF(G73=0,"",завтракл*G73/1000)</f>
        <v>1.125</v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>
        <f t="shared" si="74"/>
      </c>
      <c r="N74" s="72">
        <f t="shared" si="74"/>
      </c>
      <c r="O74" s="48">
        <f aca="true" t="shared" si="75" ref="O74:T74">IF(O73=0,"",обідл*O73/1000)</f>
      </c>
      <c r="P74" s="46">
        <f t="shared" si="75"/>
      </c>
      <c r="Q74" s="47">
        <f t="shared" si="75"/>
      </c>
      <c r="R74" s="46">
        <f t="shared" si="75"/>
      </c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72">
        <f>IF(Y73=0,"",полдникл*Y73/1000)</f>
      </c>
      <c r="Z74" s="48">
        <f aca="true" t="shared" si="76" ref="Z74:AG74">IF(Z73=0,"",ужинл*Z73/1000)</f>
      </c>
      <c r="AA74" s="47">
        <f t="shared" si="76"/>
      </c>
      <c r="AB74" s="46">
        <f t="shared" si="76"/>
      </c>
      <c r="AC74" s="47">
        <f t="shared" si="76"/>
      </c>
      <c r="AD74" s="46">
        <f t="shared" si="76"/>
      </c>
      <c r="AE74" s="47">
        <f t="shared" si="76"/>
      </c>
      <c r="AF74" s="46">
        <f t="shared" si="76"/>
      </c>
      <c r="AG74" s="72">
        <f t="shared" si="76"/>
      </c>
      <c r="AH74" s="163"/>
      <c r="AI74" s="173"/>
      <c r="AJ74" s="174"/>
      <c r="AK74" s="167"/>
      <c r="AL74" s="168"/>
      <c r="AM74" s="159"/>
      <c r="AN74" s="161"/>
      <c r="AP74">
        <v>73</v>
      </c>
      <c r="AQ74" s="62" t="s">
        <v>124</v>
      </c>
      <c r="AR74" s="61"/>
      <c r="AS74" s="61"/>
      <c r="AT74" s="61"/>
      <c r="AU74" s="61"/>
      <c r="AV74" s="61"/>
      <c r="AW74" s="61"/>
      <c r="AX74" s="61"/>
      <c r="AY74" s="61"/>
      <c r="AZ74" s="61">
        <v>7.5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10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300</v>
      </c>
      <c r="DF74" s="61"/>
      <c r="DG74" s="61"/>
      <c r="DH74" s="61"/>
      <c r="DI74" s="61"/>
      <c r="DJ74" s="61">
        <v>60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</row>
    <row r="75" spans="1:128" ht="31.5" customHeight="1">
      <c r="A75" s="196" t="s">
        <v>150</v>
      </c>
      <c r="B75" s="196"/>
      <c r="C75" s="196"/>
      <c r="D75" s="196"/>
      <c r="E75" s="197"/>
      <c r="F75" s="82" t="s">
        <v>197</v>
      </c>
      <c r="G75" s="90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>
        <f>VLOOKUP(завтрак7,таб,73,FALSE)</f>
        <v>0</v>
      </c>
      <c r="N75" s="71">
        <f>VLOOKUP(завтрак8,таб,73,FALSE)</f>
        <v>0</v>
      </c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>
        <f>VLOOKUP(обед4,таб,73,FALSE)</f>
        <v>0</v>
      </c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79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>
        <f>VLOOKUP(ужин3,таб,73,FALSE)</f>
        <v>0</v>
      </c>
      <c r="AC75" s="34">
        <f>VLOOKUP(ужин4,таб,73,FALSE)</f>
        <v>0</v>
      </c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79">
        <f>VLOOKUP(ужин8,таб,73,FALSE)</f>
        <v>0</v>
      </c>
      <c r="AH75" s="162"/>
      <c r="AI75" s="173">
        <f>AK75/сред</f>
        <v>0</v>
      </c>
      <c r="AJ75" s="174"/>
      <c r="AK75" s="165">
        <f>SUM(G76:AG76)</f>
        <v>0</v>
      </c>
      <c r="AL75" s="166"/>
      <c r="AM75" s="158">
        <f>IF(AK75=0,0,DK117)</f>
        <v>0</v>
      </c>
      <c r="AN75" s="160">
        <f>AK75*AM75</f>
        <v>0</v>
      </c>
      <c r="AP75">
        <v>74</v>
      </c>
      <c r="AQ75" s="62" t="s">
        <v>125</v>
      </c>
      <c r="AR75" s="61"/>
      <c r="AS75" s="61"/>
      <c r="AT75" s="61"/>
      <c r="AU75" s="61"/>
      <c r="AV75" s="61"/>
      <c r="AW75" s="61"/>
      <c r="AX75" s="61"/>
      <c r="AY75" s="61"/>
      <c r="AZ75" s="61">
        <v>7.5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10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300</v>
      </c>
      <c r="DF75" s="61"/>
      <c r="DG75" s="61"/>
      <c r="DH75" s="61"/>
      <c r="DI75" s="61"/>
      <c r="DJ75" s="61"/>
      <c r="DK75" s="61">
        <v>60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</row>
    <row r="76" spans="1:128" ht="31.5" customHeight="1">
      <c r="A76" s="196"/>
      <c r="B76" s="196"/>
      <c r="C76" s="196"/>
      <c r="D76" s="196"/>
      <c r="E76" s="197"/>
      <c r="F76" s="83" t="s">
        <v>198</v>
      </c>
      <c r="G76" s="91">
        <f aca="true" t="shared" si="77" ref="G76:N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>
        <f t="shared" si="77"/>
      </c>
      <c r="N76" s="72">
        <f t="shared" si="77"/>
      </c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>
        <f t="shared" si="78"/>
      </c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72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>
        <f t="shared" si="79"/>
      </c>
      <c r="AC76" s="47">
        <f t="shared" si="79"/>
      </c>
      <c r="AD76" s="46">
        <f t="shared" si="79"/>
      </c>
      <c r="AE76" s="47">
        <f t="shared" si="79"/>
      </c>
      <c r="AF76" s="46">
        <f t="shared" si="79"/>
      </c>
      <c r="AG76" s="72">
        <f t="shared" si="79"/>
      </c>
      <c r="AH76" s="163"/>
      <c r="AI76" s="173"/>
      <c r="AJ76" s="174"/>
      <c r="AK76" s="167"/>
      <c r="AL76" s="168"/>
      <c r="AM76" s="159"/>
      <c r="AN76" s="161"/>
      <c r="AP76">
        <v>75</v>
      </c>
      <c r="AQ76" s="62" t="s">
        <v>126</v>
      </c>
      <c r="AR76" s="61"/>
      <c r="AS76" s="61"/>
      <c r="AT76" s="61"/>
      <c r="AU76" s="61"/>
      <c r="AV76" s="61"/>
      <c r="AW76" s="61"/>
      <c r="AX76" s="61"/>
      <c r="AY76" s="61"/>
      <c r="AZ76" s="61">
        <v>7.5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60</v>
      </c>
      <c r="BR76" s="61"/>
      <c r="BS76" s="61"/>
      <c r="BT76" s="61"/>
      <c r="BU76" s="61"/>
      <c r="BV76" s="61"/>
      <c r="BW76" s="61">
        <v>10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300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</row>
    <row r="77" spans="1:128" ht="31.5" customHeight="1">
      <c r="A77" s="237" t="s">
        <v>151</v>
      </c>
      <c r="B77" s="237"/>
      <c r="C77" s="237"/>
      <c r="D77" s="237"/>
      <c r="E77" s="238"/>
      <c r="F77" s="82" t="s">
        <v>197</v>
      </c>
      <c r="G77" s="93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>
        <f>VLOOKUP(завтрак7,таб,72,FALSE)</f>
        <v>0</v>
      </c>
      <c r="N77" s="71">
        <f>VLOOKUP(завтрак8,таб,72,FALSE)</f>
        <v>0</v>
      </c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>
        <f>VLOOKUP(обед4,таб,72,FALSE)</f>
        <v>0</v>
      </c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80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>
        <f>VLOOKUP(ужин3,таб,72,FALSE)</f>
        <v>0</v>
      </c>
      <c r="AC77" s="37">
        <f>VLOOKUP(ужин4,таб,72,FALSE)</f>
        <v>0</v>
      </c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80">
        <f>VLOOKUP(ужин8,таб,72,FALSE)</f>
        <v>0</v>
      </c>
      <c r="AH77" s="162"/>
      <c r="AI77" s="173">
        <f>AK77/сред</f>
        <v>0</v>
      </c>
      <c r="AJ77" s="174"/>
      <c r="AK77" s="165">
        <f>SUM(G78:AG78)</f>
        <v>0</v>
      </c>
      <c r="AL77" s="166"/>
      <c r="AM77" s="158">
        <f>IF(AK77=0,0,DJ117)</f>
        <v>0</v>
      </c>
      <c r="AN77" s="160">
        <f>AK77*AM77</f>
        <v>0</v>
      </c>
      <c r="AP77">
        <v>76</v>
      </c>
      <c r="AQ77" s="62" t="s">
        <v>127</v>
      </c>
      <c r="AR77" s="61"/>
      <c r="AS77" s="61"/>
      <c r="AT77" s="61"/>
      <c r="AU77" s="61"/>
      <c r="AV77" s="61"/>
      <c r="AW77" s="61"/>
      <c r="AX77" s="61"/>
      <c r="AY77" s="61"/>
      <c r="AZ77" s="61">
        <v>7.5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60</v>
      </c>
      <c r="BQ77" s="61"/>
      <c r="BR77" s="61"/>
      <c r="BS77" s="61"/>
      <c r="BT77" s="61"/>
      <c r="BU77" s="61"/>
      <c r="BV77" s="61"/>
      <c r="BW77" s="61">
        <v>10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300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</row>
    <row r="78" spans="1:128" ht="31.5" customHeight="1">
      <c r="A78" s="239"/>
      <c r="B78" s="239"/>
      <c r="C78" s="239"/>
      <c r="D78" s="239"/>
      <c r="E78" s="240"/>
      <c r="F78" s="83" t="s">
        <v>198</v>
      </c>
      <c r="G78" s="92">
        <f aca="true" t="shared" si="80" ref="G78:N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>
        <f t="shared" si="80"/>
      </c>
      <c r="N78" s="72">
        <f t="shared" si="80"/>
      </c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>
        <f t="shared" si="81"/>
      </c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77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>
        <f t="shared" si="82"/>
      </c>
      <c r="AC78" s="49">
        <f t="shared" si="82"/>
      </c>
      <c r="AD78" s="45">
        <f t="shared" si="82"/>
      </c>
      <c r="AE78" s="49">
        <f t="shared" si="82"/>
      </c>
      <c r="AF78" s="45">
        <f t="shared" si="82"/>
      </c>
      <c r="AG78" s="77">
        <f t="shared" si="82"/>
      </c>
      <c r="AH78" s="163"/>
      <c r="AI78" s="173"/>
      <c r="AJ78" s="174"/>
      <c r="AK78" s="167"/>
      <c r="AL78" s="168"/>
      <c r="AM78" s="159"/>
      <c r="AN78" s="161"/>
      <c r="AP78">
        <v>77</v>
      </c>
      <c r="AQ78" s="62" t="s">
        <v>253</v>
      </c>
      <c r="AR78" s="61"/>
      <c r="AS78" s="61"/>
      <c r="AT78" s="61"/>
      <c r="AU78" s="61"/>
      <c r="AV78" s="61"/>
      <c r="AW78" s="61"/>
      <c r="AX78" s="61"/>
      <c r="AY78" s="61"/>
      <c r="AZ78" s="61">
        <v>7.5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45</v>
      </c>
      <c r="BS78" s="61"/>
      <c r="BT78" s="61"/>
      <c r="BU78" s="61"/>
      <c r="BV78" s="61"/>
      <c r="BW78" s="61">
        <v>10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300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</row>
    <row r="79" spans="1:128" ht="31.5" customHeight="1">
      <c r="A79" s="196" t="s">
        <v>152</v>
      </c>
      <c r="B79" s="196"/>
      <c r="C79" s="196"/>
      <c r="D79" s="196"/>
      <c r="E79" s="197"/>
      <c r="F79" s="82" t="s">
        <v>197</v>
      </c>
      <c r="G79" s="90">
        <f>VLOOKUP(завтрак1,таб,74,FALSE)</f>
        <v>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>
        <f>VLOOKUP(завтрак7,таб,74,FALSE)</f>
        <v>0</v>
      </c>
      <c r="N79" s="71">
        <f>VLOOKUP(завтрак8,таб,74,FALSE)</f>
        <v>0</v>
      </c>
      <c r="O79" s="36">
        <f>VLOOKUP(обед1,таб,74,FALSE)</f>
        <v>0</v>
      </c>
      <c r="P79" s="35">
        <f>VLOOKUP(обед2,таб,74,FALSE)</f>
        <v>0</v>
      </c>
      <c r="Q79" s="34">
        <f>VLOOKUP(обед3,таб,74,FALSE)</f>
        <v>0</v>
      </c>
      <c r="R79" s="35">
        <f>VLOOKUP(обед4,таб,74,FALSE)</f>
        <v>0</v>
      </c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79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>
        <f>VLOOKUP(ужин3,таб,74,FALSE)</f>
        <v>0</v>
      </c>
      <c r="AC79" s="34">
        <f>VLOOKUP(ужин4,таб,74,FALSE)</f>
        <v>0</v>
      </c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79">
        <f>VLOOKUP(ужин8,таб,74,FALSE)</f>
        <v>0</v>
      </c>
      <c r="AH79" s="162">
        <v>613052</v>
      </c>
      <c r="AI79" s="173">
        <f>AK79/сред</f>
        <v>0</v>
      </c>
      <c r="AJ79" s="174"/>
      <c r="AK79" s="165">
        <f>SUM(G80:AG80)</f>
        <v>0</v>
      </c>
      <c r="AL79" s="166"/>
      <c r="AM79" s="158">
        <f>IF(AK79=0,0,DL117)</f>
        <v>0</v>
      </c>
      <c r="AN79" s="160">
        <f>AK79*AM79</f>
        <v>0</v>
      </c>
      <c r="AP79">
        <v>78</v>
      </c>
      <c r="AQ79" s="62" t="s">
        <v>128</v>
      </c>
      <c r="AR79" s="61"/>
      <c r="AS79" s="61"/>
      <c r="AT79" s="61"/>
      <c r="AU79" s="61"/>
      <c r="AV79" s="61"/>
      <c r="AW79" s="61"/>
      <c r="AX79" s="61"/>
      <c r="AY79" s="61"/>
      <c r="AZ79" s="61">
        <v>10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94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200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</row>
    <row r="80" spans="1:128" ht="31.5" customHeight="1">
      <c r="A80" s="196"/>
      <c r="B80" s="196"/>
      <c r="C80" s="196"/>
      <c r="D80" s="196"/>
      <c r="E80" s="197"/>
      <c r="F80" s="83" t="s">
        <v>198</v>
      </c>
      <c r="G80" s="91">
        <f aca="true" t="shared" si="83" ref="G80:N80">IF(G79=0,"",завтракл*G79/1000)</f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>
        <f t="shared" si="83"/>
      </c>
      <c r="N80" s="72">
        <f t="shared" si="83"/>
      </c>
      <c r="O80" s="48">
        <f aca="true" t="shared" si="84" ref="O80:T80">IF(O79=0,"",обідл*O79/1000)</f>
      </c>
      <c r="P80" s="46">
        <f t="shared" si="84"/>
      </c>
      <c r="Q80" s="47">
        <f t="shared" si="84"/>
      </c>
      <c r="R80" s="46">
        <f t="shared" si="84"/>
      </c>
      <c r="S80" s="47">
        <f t="shared" si="84"/>
      </c>
      <c r="T80" s="46">
        <f t="shared" si="84"/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72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>
        <f t="shared" si="85"/>
      </c>
      <c r="AC80" s="47">
        <f t="shared" si="85"/>
      </c>
      <c r="AD80" s="46">
        <f t="shared" si="85"/>
      </c>
      <c r="AE80" s="47">
        <f t="shared" si="85"/>
      </c>
      <c r="AF80" s="46">
        <f t="shared" si="85"/>
      </c>
      <c r="AG80" s="72">
        <f t="shared" si="85"/>
      </c>
      <c r="AH80" s="163"/>
      <c r="AI80" s="173"/>
      <c r="AJ80" s="174"/>
      <c r="AK80" s="167"/>
      <c r="AL80" s="168"/>
      <c r="AM80" s="159"/>
      <c r="AN80" s="161"/>
      <c r="AP80">
        <v>79</v>
      </c>
      <c r="AQ80" s="62" t="s">
        <v>129</v>
      </c>
      <c r="AR80" s="61"/>
      <c r="AS80" s="61"/>
      <c r="AT80" s="61"/>
      <c r="AU80" s="61"/>
      <c r="AV80" s="61"/>
      <c r="AW80" s="61"/>
      <c r="AX80" s="61"/>
      <c r="AY80" s="61"/>
      <c r="AZ80" s="61">
        <v>10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80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200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</row>
    <row r="81" spans="1:128" ht="31.5" customHeight="1">
      <c r="A81" s="237" t="s">
        <v>31</v>
      </c>
      <c r="B81" s="237"/>
      <c r="C81" s="237"/>
      <c r="D81" s="237"/>
      <c r="E81" s="238"/>
      <c r="F81" s="82" t="s">
        <v>197</v>
      </c>
      <c r="G81" s="93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>
        <f>VLOOKUP(завтрак7,таб,27,FALSE)</f>
        <v>0</v>
      </c>
      <c r="N81" s="71">
        <f>VLOOKUP(завтрак8,таб,27,FALSE)</f>
        <v>0</v>
      </c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>
        <f>VLOOKUP(обед4,таб,27,FALSE)</f>
        <v>0</v>
      </c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80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>
        <f>VLOOKUP(ужин3,таб,27,FALSE)</f>
        <v>0</v>
      </c>
      <c r="AC81" s="37">
        <f>VLOOKUP(ужин4,таб,27,FALSE)</f>
        <v>0</v>
      </c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80">
        <f>VLOOKUP(ужин8,таб,27,FALSE)</f>
        <v>0</v>
      </c>
      <c r="AH81" s="162">
        <v>603015</v>
      </c>
      <c r="AI81" s="173">
        <f>AK81/сред</f>
        <v>0</v>
      </c>
      <c r="AJ81" s="174"/>
      <c r="AK81" s="165">
        <f>SUM(G82:AG82)</f>
        <v>0</v>
      </c>
      <c r="AL81" s="166"/>
      <c r="AM81" s="158">
        <f>IF(AK81=0,0,BQ117)</f>
        <v>0</v>
      </c>
      <c r="AN81" s="160">
        <f>AK81*AM81</f>
        <v>0</v>
      </c>
      <c r="AP81">
        <v>80</v>
      </c>
      <c r="AQ81" s="62" t="s">
        <v>130</v>
      </c>
      <c r="AR81" s="61"/>
      <c r="AS81" s="61"/>
      <c r="AT81" s="61"/>
      <c r="AU81" s="61"/>
      <c r="AV81" s="61"/>
      <c r="AW81" s="61"/>
      <c r="AX81" s="61"/>
      <c r="AY81" s="61"/>
      <c r="AZ81" s="61">
        <v>10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80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200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</row>
    <row r="82" spans="1:128" ht="31.5" customHeight="1">
      <c r="A82" s="239"/>
      <c r="B82" s="239"/>
      <c r="C82" s="239"/>
      <c r="D82" s="239"/>
      <c r="E82" s="240"/>
      <c r="F82" s="83" t="s">
        <v>198</v>
      </c>
      <c r="G82" s="92">
        <f aca="true" t="shared" si="86" ref="G82:N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>
        <f t="shared" si="86"/>
      </c>
      <c r="N82" s="72">
        <f t="shared" si="86"/>
      </c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>
        <f t="shared" si="87"/>
      </c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77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>
        <f t="shared" si="88"/>
      </c>
      <c r="AC82" s="49">
        <f t="shared" si="88"/>
      </c>
      <c r="AD82" s="45">
        <f t="shared" si="88"/>
      </c>
      <c r="AE82" s="49">
        <f t="shared" si="88"/>
      </c>
      <c r="AF82" s="45">
        <f t="shared" si="88"/>
      </c>
      <c r="AG82" s="77">
        <f t="shared" si="88"/>
      </c>
      <c r="AH82" s="163"/>
      <c r="AI82" s="173"/>
      <c r="AJ82" s="174"/>
      <c r="AK82" s="167"/>
      <c r="AL82" s="168"/>
      <c r="AM82" s="159"/>
      <c r="AN82" s="161"/>
      <c r="AP82">
        <v>81</v>
      </c>
      <c r="AQ82" s="62" t="s">
        <v>131</v>
      </c>
      <c r="AR82" s="61"/>
      <c r="AS82" s="61"/>
      <c r="AT82" s="61"/>
      <c r="AU82" s="61"/>
      <c r="AV82" s="61"/>
      <c r="AW82" s="61"/>
      <c r="AX82" s="61"/>
      <c r="AY82" s="61"/>
      <c r="AZ82" s="61">
        <v>10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72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200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</row>
    <row r="83" spans="1:128" ht="31.5" customHeight="1">
      <c r="A83" s="196" t="s">
        <v>33</v>
      </c>
      <c r="B83" s="196"/>
      <c r="C83" s="196"/>
      <c r="D83" s="196"/>
      <c r="E83" s="197"/>
      <c r="F83" s="82" t="s">
        <v>197</v>
      </c>
      <c r="G83" s="90">
        <f>VLOOKUP(завтрак1,таб,28,FALSE)</f>
        <v>0</v>
      </c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>
        <f>VLOOKUP(завтрак7,таб,28,FALSE)</f>
        <v>0</v>
      </c>
      <c r="N83" s="71">
        <f>VLOOKUP(завтрак8,таб,28,FALSE)</f>
        <v>0</v>
      </c>
      <c r="O83" s="36">
        <f>VLOOKUP(обед1,таб,28,FALSE)</f>
        <v>0</v>
      </c>
      <c r="P83" s="35">
        <f>VLOOKUP(обед2,таб,28,FALSE)</f>
        <v>0</v>
      </c>
      <c r="Q83" s="34">
        <f>VLOOKUP(обед3,таб,28,FALSE)</f>
        <v>0</v>
      </c>
      <c r="R83" s="35">
        <f>VLOOKUP(обед4,таб,28,FALSE)</f>
        <v>0</v>
      </c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79">
        <f>VLOOKUP(полдник3,таб,28,FALSE)</f>
        <v>0</v>
      </c>
      <c r="Z83" s="36">
        <f>VLOOKUP(ужин1,таб,28,FALSE)</f>
        <v>0</v>
      </c>
      <c r="AA83" s="34">
        <f>VLOOKUP(ужин2,таб,28,FALSE)</f>
        <v>0</v>
      </c>
      <c r="AB83" s="35">
        <f>VLOOKUP(ужин3,таб,28,FALSE)</f>
        <v>0</v>
      </c>
      <c r="AC83" s="34">
        <f>VLOOKUP(ужин4,таб,28,FALSE)</f>
        <v>0</v>
      </c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79">
        <f>VLOOKUP(ужин8,таб,28,FALSE)</f>
        <v>0</v>
      </c>
      <c r="AH83" s="162">
        <v>613046</v>
      </c>
      <c r="AI83" s="173">
        <f>AK83/сред</f>
        <v>0</v>
      </c>
      <c r="AJ83" s="174"/>
      <c r="AK83" s="165">
        <f>SUM(G84:AG84)</f>
        <v>0</v>
      </c>
      <c r="AL83" s="166"/>
      <c r="AM83" s="158">
        <f>IF(AK83=0,0,BR117)</f>
        <v>0</v>
      </c>
      <c r="AN83" s="160">
        <f>AK83*AM83</f>
        <v>0</v>
      </c>
      <c r="AP83">
        <v>82</v>
      </c>
      <c r="AQ83" s="62" t="s">
        <v>132</v>
      </c>
      <c r="AR83" s="61"/>
      <c r="AS83" s="61"/>
      <c r="AT83" s="61"/>
      <c r="AU83" s="61"/>
      <c r="AV83" s="61"/>
      <c r="AW83" s="61"/>
      <c r="AX83" s="61"/>
      <c r="AY83" s="61"/>
      <c r="AZ83" s="61">
        <v>10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200</v>
      </c>
      <c r="DF83" s="61"/>
      <c r="DG83" s="61"/>
      <c r="DH83" s="61"/>
      <c r="DI83" s="61"/>
      <c r="DJ83" s="61">
        <v>66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</row>
    <row r="84" spans="1:128" ht="31.5" customHeight="1">
      <c r="A84" s="196"/>
      <c r="B84" s="196"/>
      <c r="C84" s="196"/>
      <c r="D84" s="196"/>
      <c r="E84" s="197"/>
      <c r="F84" s="83" t="s">
        <v>198</v>
      </c>
      <c r="G84" s="91">
        <f aca="true" t="shared" si="89" ref="G84:N84">IF(G83=0,"",завтракл*G83/1000)</f>
      </c>
      <c r="H84" s="47">
        <f t="shared" si="89"/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>
        <f t="shared" si="89"/>
      </c>
      <c r="N84" s="72">
        <f t="shared" si="89"/>
      </c>
      <c r="O84" s="48">
        <f aca="true" t="shared" si="90" ref="O84:T84">IF(O83=0,"",обідл*O83/1000)</f>
      </c>
      <c r="P84" s="46">
        <f t="shared" si="90"/>
      </c>
      <c r="Q84" s="47">
        <f t="shared" si="90"/>
      </c>
      <c r="R84" s="46">
        <f t="shared" si="90"/>
      </c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72">
        <f>IF(Y83=0,"",полдникл*Y83/1000)</f>
      </c>
      <c r="Z84" s="48">
        <f aca="true" t="shared" si="91" ref="Z84:AG84">IF(Z83=0,"",ужинл*Z83/1000)</f>
      </c>
      <c r="AA84" s="47">
        <f t="shared" si="91"/>
      </c>
      <c r="AB84" s="46">
        <f t="shared" si="91"/>
      </c>
      <c r="AC84" s="47">
        <f t="shared" si="91"/>
      </c>
      <c r="AD84" s="46">
        <f t="shared" si="91"/>
      </c>
      <c r="AE84" s="47">
        <f t="shared" si="91"/>
      </c>
      <c r="AF84" s="46">
        <f t="shared" si="91"/>
      </c>
      <c r="AG84" s="72">
        <f t="shared" si="91"/>
      </c>
      <c r="AH84" s="163"/>
      <c r="AI84" s="173"/>
      <c r="AJ84" s="174"/>
      <c r="AK84" s="167"/>
      <c r="AL84" s="168"/>
      <c r="AM84" s="159"/>
      <c r="AN84" s="161"/>
      <c r="AP84">
        <v>83</v>
      </c>
      <c r="AQ84" s="62" t="s">
        <v>8</v>
      </c>
      <c r="AR84" s="61"/>
      <c r="AS84" s="61"/>
      <c r="AT84" s="61"/>
      <c r="AU84" s="61"/>
      <c r="AV84" s="61">
        <v>50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50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</row>
    <row r="85" spans="1:128" ht="31.5" customHeight="1">
      <c r="A85" s="237" t="s">
        <v>32</v>
      </c>
      <c r="B85" s="237"/>
      <c r="C85" s="237"/>
      <c r="D85" s="237"/>
      <c r="E85" s="238"/>
      <c r="F85" s="82" t="s">
        <v>197</v>
      </c>
      <c r="G85" s="93">
        <f>VLOOKUP(завтрак1,таб,29,FALSE)</f>
        <v>0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>
        <f>VLOOKUP(завтрак7,таб,29,FALSE)</f>
        <v>0</v>
      </c>
      <c r="N85" s="71">
        <f>VLOOKUP(завтрак8,таб,29,FALSE)</f>
        <v>0</v>
      </c>
      <c r="O85" s="39">
        <f>VLOOKUP(обед1,таб,29,FALSE)</f>
        <v>0</v>
      </c>
      <c r="P85" s="38">
        <f>VLOOKUP(обед2,таб,29,FALSE)</f>
        <v>0</v>
      </c>
      <c r="Q85" s="37">
        <f>VLOOKUP(обед3,таб,29,FALSE)</f>
        <v>0</v>
      </c>
      <c r="R85" s="38">
        <f>VLOOKUP(обед4,таб,29,FALSE)</f>
        <v>0</v>
      </c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80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>
        <f>VLOOKUP(ужин3,таб,29,FALSE)</f>
        <v>0</v>
      </c>
      <c r="AC85" s="37">
        <f>VLOOKUP(ужин4,таб,29,FALSE)</f>
        <v>0</v>
      </c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80">
        <f>VLOOKUP(ужин8,таб,29,FALSE)</f>
        <v>0</v>
      </c>
      <c r="AH85" s="162">
        <v>613052</v>
      </c>
      <c r="AI85" s="173">
        <f>AK85/сред</f>
        <v>0</v>
      </c>
      <c r="AJ85" s="174"/>
      <c r="AK85" s="165">
        <f>SUM(G86:AG86)</f>
        <v>0</v>
      </c>
      <c r="AL85" s="166"/>
      <c r="AM85" s="158">
        <f>IF(AK85=0,0,BS117)</f>
        <v>0</v>
      </c>
      <c r="AN85" s="160">
        <f>AK85*AM85</f>
        <v>0</v>
      </c>
      <c r="AP85">
        <v>84</v>
      </c>
      <c r="AQ85" s="62" t="s">
        <v>133</v>
      </c>
      <c r="AR85" s="61"/>
      <c r="AS85" s="61"/>
      <c r="AT85" s="61"/>
      <c r="AU85" s="61"/>
      <c r="AV85" s="61"/>
      <c r="AW85" s="61">
        <v>50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50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</row>
    <row r="86" spans="1:128" ht="31.5" customHeight="1">
      <c r="A86" s="239"/>
      <c r="B86" s="239"/>
      <c r="C86" s="239"/>
      <c r="D86" s="239"/>
      <c r="E86" s="240"/>
      <c r="F86" s="83" t="s">
        <v>198</v>
      </c>
      <c r="G86" s="92">
        <f aca="true" t="shared" si="92" ref="G86:N86">IF(G85=0,"",завтракл*G85/1000)</f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>
        <f t="shared" si="92"/>
      </c>
      <c r="N86" s="72">
        <f t="shared" si="92"/>
      </c>
      <c r="O86" s="50">
        <f aca="true" t="shared" si="93" ref="O86:T86">IF(O85=0,"",обідл*O85/1000)</f>
      </c>
      <c r="P86" s="45">
        <f t="shared" si="93"/>
      </c>
      <c r="Q86" s="49">
        <f t="shared" si="93"/>
      </c>
      <c r="R86" s="45">
        <f t="shared" si="93"/>
      </c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77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>
        <f t="shared" si="94"/>
      </c>
      <c r="AC86" s="49">
        <f t="shared" si="94"/>
      </c>
      <c r="AD86" s="45">
        <f t="shared" si="94"/>
      </c>
      <c r="AE86" s="49">
        <f t="shared" si="94"/>
      </c>
      <c r="AF86" s="45">
        <f t="shared" si="94"/>
      </c>
      <c r="AG86" s="77">
        <f t="shared" si="94"/>
      </c>
      <c r="AH86" s="163"/>
      <c r="AI86" s="173"/>
      <c r="AJ86" s="174"/>
      <c r="AK86" s="167"/>
      <c r="AL86" s="168"/>
      <c r="AM86" s="159"/>
      <c r="AN86" s="161"/>
      <c r="AP86">
        <v>85</v>
      </c>
      <c r="AQ86" s="62" t="s">
        <v>251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12</v>
      </c>
      <c r="BD86" s="61">
        <v>100</v>
      </c>
      <c r="BE86" s="61"/>
      <c r="BF86" s="61"/>
      <c r="BG86" s="61">
        <v>25</v>
      </c>
      <c r="BH86" s="61"/>
      <c r="BI86" s="61"/>
      <c r="BJ86" s="61">
        <v>0.1</v>
      </c>
      <c r="BK86" s="61"/>
      <c r="BL86" s="61"/>
      <c r="BM86" s="61"/>
      <c r="BN86" s="61"/>
      <c r="BO86" s="61">
        <v>50</v>
      </c>
      <c r="BP86" s="61"/>
      <c r="BQ86" s="61"/>
      <c r="BR86" s="61"/>
      <c r="BS86" s="61"/>
      <c r="BT86" s="61"/>
      <c r="BU86" s="61"/>
      <c r="BV86" s="61"/>
      <c r="BW86" s="61">
        <v>14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57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>
        <v>250</v>
      </c>
      <c r="DF86" s="61"/>
      <c r="DG86" s="61"/>
      <c r="DH86" s="61"/>
      <c r="DI86" s="61">
        <v>6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</row>
    <row r="87" spans="1:128" ht="31.5" customHeight="1">
      <c r="A87" s="196" t="s">
        <v>328</v>
      </c>
      <c r="B87" s="196"/>
      <c r="C87" s="196"/>
      <c r="D87" s="196"/>
      <c r="E87" s="197"/>
      <c r="F87" s="82" t="s">
        <v>197</v>
      </c>
      <c r="G87" s="90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>
        <f>VLOOKUP(завтрак7,таб,30,FALSE)</f>
        <v>0</v>
      </c>
      <c r="N87" s="71">
        <f>VLOOKUP(завтрак8,таб,30,FALSE)</f>
        <v>0</v>
      </c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>
        <f>VLOOKUP(обед4,таб,30,FALSE)</f>
        <v>0</v>
      </c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79">
        <f>VLOOKUP(полдник3,таб,30,FALSE)</f>
        <v>0</v>
      </c>
      <c r="Z87" s="36">
        <f>VLOOKUP(ужин1,таб,30,FALSE)</f>
        <v>0</v>
      </c>
      <c r="AA87" s="34">
        <f>VLOOKUP(ужин2,таб,30,FALSE)</f>
        <v>0</v>
      </c>
      <c r="AB87" s="35">
        <f>VLOOKUP(ужин3,таб,30,FALSE)</f>
        <v>0</v>
      </c>
      <c r="AC87" s="34">
        <f>VLOOKUP(ужин4,таб,30,FALSE)</f>
        <v>0</v>
      </c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79">
        <f>VLOOKUP(ужин8,таб,30,FALSE)</f>
        <v>0</v>
      </c>
      <c r="AH87" s="162">
        <v>613068</v>
      </c>
      <c r="AI87" s="173">
        <f>AK87/сред</f>
        <v>0</v>
      </c>
      <c r="AJ87" s="174"/>
      <c r="AK87" s="165">
        <f>SUM(G88:AG88)</f>
        <v>0</v>
      </c>
      <c r="AL87" s="166"/>
      <c r="AM87" s="158">
        <f>IF(AK87=0,0,BT117)</f>
        <v>0</v>
      </c>
      <c r="AN87" s="160">
        <f>AK87*AM87</f>
        <v>0</v>
      </c>
      <c r="AP87">
        <v>86</v>
      </c>
      <c r="AQ87" s="62" t="s">
        <v>135</v>
      </c>
      <c r="AR87" s="61"/>
      <c r="AS87" s="61"/>
      <c r="AT87" s="61"/>
      <c r="AU87" s="61"/>
      <c r="AV87" s="61"/>
      <c r="AW87" s="61"/>
      <c r="AX87" s="61"/>
      <c r="AY87" s="61"/>
      <c r="AZ87" s="61">
        <v>2</v>
      </c>
      <c r="BA87" s="61"/>
      <c r="BB87" s="61"/>
      <c r="BC87" s="61">
        <v>4</v>
      </c>
      <c r="BD87" s="61"/>
      <c r="BE87" s="61"/>
      <c r="BF87" s="61"/>
      <c r="BG87" s="61">
        <v>25</v>
      </c>
      <c r="BH87" s="61">
        <v>106</v>
      </c>
      <c r="BI87" s="61"/>
      <c r="BJ87" s="61">
        <v>0.1</v>
      </c>
      <c r="BK87" s="61"/>
      <c r="BL87" s="61">
        <v>10</v>
      </c>
      <c r="BM87" s="61"/>
      <c r="BN87" s="61"/>
      <c r="BO87" s="61">
        <v>4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43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 t="s">
        <v>294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</row>
    <row r="88" spans="1:128" ht="31.5" customHeight="1">
      <c r="A88" s="196"/>
      <c r="B88" s="196"/>
      <c r="C88" s="196"/>
      <c r="D88" s="196"/>
      <c r="E88" s="197"/>
      <c r="F88" s="83" t="s">
        <v>198</v>
      </c>
      <c r="G88" s="91">
        <f aca="true" t="shared" si="95" ref="G88:N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>
        <f t="shared" si="95"/>
      </c>
      <c r="N88" s="72">
        <f t="shared" si="95"/>
      </c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>
        <f t="shared" si="96"/>
      </c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72">
        <f>IF(Y87=0,"",полдникл*Y87/1000)</f>
      </c>
      <c r="Z88" s="48">
        <f aca="true" t="shared" si="97" ref="Z88:AG88">IF(Z87=0,"",ужинл*Z87/1000)</f>
      </c>
      <c r="AA88" s="47">
        <f t="shared" si="97"/>
      </c>
      <c r="AB88" s="46">
        <f t="shared" si="97"/>
      </c>
      <c r="AC88" s="47">
        <f t="shared" si="97"/>
      </c>
      <c r="AD88" s="46">
        <f t="shared" si="97"/>
      </c>
      <c r="AE88" s="47">
        <f t="shared" si="97"/>
      </c>
      <c r="AF88" s="46">
        <f t="shared" si="97"/>
      </c>
      <c r="AG88" s="72">
        <f t="shared" si="97"/>
      </c>
      <c r="AH88" s="163"/>
      <c r="AI88" s="173"/>
      <c r="AJ88" s="174"/>
      <c r="AK88" s="167"/>
      <c r="AL88" s="168"/>
      <c r="AM88" s="159"/>
      <c r="AN88" s="161"/>
      <c r="AP88">
        <v>87</v>
      </c>
      <c r="AQ88" s="62" t="s">
        <v>164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25</v>
      </c>
      <c r="BH88" s="61">
        <v>174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297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</row>
    <row r="89" spans="1:128" ht="30.75" customHeight="1">
      <c r="A89" s="273">
        <v>1</v>
      </c>
      <c r="B89" s="273"/>
      <c r="C89" s="273"/>
      <c r="D89" s="273"/>
      <c r="E89" s="274"/>
      <c r="F89" s="202">
        <v>2</v>
      </c>
      <c r="G89" s="313">
        <v>3</v>
      </c>
      <c r="H89" s="275">
        <v>4</v>
      </c>
      <c r="I89" s="275">
        <v>5</v>
      </c>
      <c r="J89" s="275">
        <v>6</v>
      </c>
      <c r="K89" s="275">
        <v>7</v>
      </c>
      <c r="L89" s="275">
        <v>8</v>
      </c>
      <c r="M89" s="275">
        <v>9</v>
      </c>
      <c r="N89" s="277">
        <v>10</v>
      </c>
      <c r="O89" s="204">
        <v>11</v>
      </c>
      <c r="P89" s="275">
        <v>12</v>
      </c>
      <c r="Q89" s="275">
        <v>13</v>
      </c>
      <c r="R89" s="275">
        <v>14</v>
      </c>
      <c r="S89" s="275">
        <v>15</v>
      </c>
      <c r="T89" s="275">
        <v>16</v>
      </c>
      <c r="U89" s="275">
        <v>17</v>
      </c>
      <c r="V89" s="275">
        <v>18</v>
      </c>
      <c r="W89" s="275">
        <v>19</v>
      </c>
      <c r="X89" s="275">
        <v>20</v>
      </c>
      <c r="Y89" s="277">
        <v>21</v>
      </c>
      <c r="Z89" s="204">
        <v>22</v>
      </c>
      <c r="AA89" s="275">
        <v>23</v>
      </c>
      <c r="AB89" s="275">
        <v>24</v>
      </c>
      <c r="AC89" s="275">
        <v>25</v>
      </c>
      <c r="AD89" s="275">
        <v>26</v>
      </c>
      <c r="AE89" s="275">
        <v>27</v>
      </c>
      <c r="AF89" s="275">
        <v>28</v>
      </c>
      <c r="AG89" s="277">
        <v>29</v>
      </c>
      <c r="AH89" s="162"/>
      <c r="AI89" s="173"/>
      <c r="AJ89" s="174"/>
      <c r="AK89" s="165"/>
      <c r="AL89" s="166"/>
      <c r="AM89" s="158"/>
      <c r="AN89" s="160"/>
      <c r="AP89">
        <v>88</v>
      </c>
      <c r="AQ89" s="62" t="s">
        <v>136</v>
      </c>
      <c r="AR89" s="61"/>
      <c r="AS89" s="61"/>
      <c r="AT89" s="61"/>
      <c r="AU89" s="61"/>
      <c r="AV89" s="61"/>
      <c r="AW89" s="61"/>
      <c r="AX89" s="61"/>
      <c r="AY89" s="61"/>
      <c r="AZ89" s="61">
        <v>10</v>
      </c>
      <c r="BA89" s="61"/>
      <c r="BB89" s="61"/>
      <c r="BC89" s="61"/>
      <c r="BD89" s="61"/>
      <c r="BE89" s="61"/>
      <c r="BF89" s="61"/>
      <c r="BG89" s="61"/>
      <c r="BH89" s="61"/>
      <c r="BI89" s="61">
        <v>22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70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230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</row>
    <row r="90" spans="1:128" ht="30.75" customHeight="1">
      <c r="A90" s="273"/>
      <c r="B90" s="273"/>
      <c r="C90" s="273"/>
      <c r="D90" s="273"/>
      <c r="E90" s="274"/>
      <c r="F90" s="208"/>
      <c r="G90" s="314"/>
      <c r="H90" s="276"/>
      <c r="I90" s="276"/>
      <c r="J90" s="276"/>
      <c r="K90" s="276"/>
      <c r="L90" s="276"/>
      <c r="M90" s="276"/>
      <c r="N90" s="278"/>
      <c r="O90" s="210"/>
      <c r="P90" s="276"/>
      <c r="Q90" s="276"/>
      <c r="R90" s="276"/>
      <c r="S90" s="276"/>
      <c r="T90" s="276"/>
      <c r="U90" s="276"/>
      <c r="V90" s="276"/>
      <c r="W90" s="276"/>
      <c r="X90" s="276"/>
      <c r="Y90" s="278"/>
      <c r="Z90" s="210"/>
      <c r="AA90" s="276"/>
      <c r="AB90" s="276"/>
      <c r="AC90" s="276"/>
      <c r="AD90" s="276"/>
      <c r="AE90" s="276"/>
      <c r="AF90" s="276"/>
      <c r="AG90" s="278"/>
      <c r="AH90" s="163"/>
      <c r="AI90" s="173"/>
      <c r="AJ90" s="174"/>
      <c r="AK90" s="167"/>
      <c r="AL90" s="168"/>
      <c r="AM90" s="159"/>
      <c r="AN90" s="161"/>
      <c r="AP90">
        <v>89</v>
      </c>
      <c r="AQ90" s="62" t="s">
        <v>137</v>
      </c>
      <c r="AR90" s="61"/>
      <c r="AS90" s="61"/>
      <c r="AT90" s="61"/>
      <c r="AU90" s="61"/>
      <c r="AV90" s="61"/>
      <c r="AW90" s="61"/>
      <c r="AX90" s="61"/>
      <c r="AY90" s="61"/>
      <c r="AZ90" s="61">
        <v>10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70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200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</row>
    <row r="91" spans="1:128" ht="30.75" customHeight="1">
      <c r="A91" s="237" t="s">
        <v>0</v>
      </c>
      <c r="B91" s="237"/>
      <c r="C91" s="237"/>
      <c r="D91" s="237"/>
      <c r="E91" s="238"/>
      <c r="F91" s="82" t="s">
        <v>197</v>
      </c>
      <c r="G91" s="93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>
        <f>VLOOKUP(завтрак7,таб,31,FALSE)</f>
        <v>0</v>
      </c>
      <c r="N91" s="71">
        <f>VLOOKUP(завтрак8,таб,31,FALSE)</f>
        <v>0</v>
      </c>
      <c r="O91" s="39">
        <f>VLOOKUP(обед1,таб,31,FALSE)</f>
        <v>0</v>
      </c>
      <c r="P91" s="38">
        <f>VLOOKUP(обед2,таб,31,FALSE)</f>
        <v>0</v>
      </c>
      <c r="Q91" s="37">
        <f>VLOOKUP(обед3,таб,31,FALSE)</f>
        <v>0</v>
      </c>
      <c r="R91" s="38">
        <f>VLOOKUP(обед4,таб,31,FALSE)</f>
        <v>0</v>
      </c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80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>
        <f>VLOOKUP(ужин3,таб,31,FALSE)</f>
        <v>0</v>
      </c>
      <c r="AC91" s="37">
        <f>VLOOKUP(ужин4,таб,31,FALSE)</f>
        <v>0</v>
      </c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80">
        <f>VLOOKUP(ужин8,таб,31,FALSE)</f>
        <v>0</v>
      </c>
      <c r="AH91" s="162">
        <v>613072</v>
      </c>
      <c r="AI91" s="283">
        <f>AK91/сред</f>
        <v>0</v>
      </c>
      <c r="AJ91" s="284"/>
      <c r="AK91" s="165">
        <f>SUM(G92:AG92)</f>
        <v>0</v>
      </c>
      <c r="AL91" s="166"/>
      <c r="AM91" s="158">
        <f>IF(AK91=0,0,BU117)</f>
        <v>0</v>
      </c>
      <c r="AN91" s="160">
        <f>AK91*AM91</f>
        <v>0</v>
      </c>
      <c r="AP91">
        <v>90</v>
      </c>
      <c r="AQ91" s="62" t="s">
        <v>252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4</v>
      </c>
      <c r="BD91" s="61"/>
      <c r="BE91" s="61"/>
      <c r="BF91" s="61"/>
      <c r="BG91" s="61">
        <v>25</v>
      </c>
      <c r="BH91" s="61">
        <v>68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8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 t="s">
        <v>297</v>
      </c>
      <c r="DF91" s="61"/>
      <c r="DG91" s="61"/>
      <c r="DH91" s="61"/>
      <c r="DI91" s="61">
        <v>4</v>
      </c>
      <c r="DJ91" s="61"/>
      <c r="DK91" s="61"/>
      <c r="DL91" s="61">
        <v>50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</row>
    <row r="92" spans="1:128" ht="30.75" customHeight="1">
      <c r="A92" s="239"/>
      <c r="B92" s="239"/>
      <c r="C92" s="239"/>
      <c r="D92" s="239"/>
      <c r="E92" s="240"/>
      <c r="F92" s="83" t="s">
        <v>198</v>
      </c>
      <c r="G92" s="92">
        <f aca="true" t="shared" si="98" ref="G92:N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>
        <f t="shared" si="98"/>
      </c>
      <c r="N92" s="72">
        <f t="shared" si="98"/>
      </c>
      <c r="O92" s="50">
        <f aca="true" t="shared" si="99" ref="O92:V92">IF(O91=0,"",обідл*O91/1000)</f>
      </c>
      <c r="P92" s="45">
        <f t="shared" si="99"/>
      </c>
      <c r="Q92" s="49">
        <f t="shared" si="99"/>
      </c>
      <c r="R92" s="45">
        <f t="shared" si="99"/>
      </c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77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>
        <f t="shared" si="100"/>
      </c>
      <c r="AC92" s="49">
        <f t="shared" si="100"/>
      </c>
      <c r="AD92" s="45">
        <f t="shared" si="100"/>
      </c>
      <c r="AE92" s="49">
        <f t="shared" si="100"/>
      </c>
      <c r="AF92" s="45">
        <f t="shared" si="100"/>
      </c>
      <c r="AG92" s="77">
        <f t="shared" si="100"/>
      </c>
      <c r="AH92" s="163"/>
      <c r="AI92" s="173"/>
      <c r="AJ92" s="174"/>
      <c r="AK92" s="167"/>
      <c r="AL92" s="168"/>
      <c r="AM92" s="159"/>
      <c r="AN92" s="161"/>
      <c r="AP92">
        <v>91</v>
      </c>
      <c r="AQ92" s="62" t="s">
        <v>242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85</v>
      </c>
      <c r="BE92" s="61"/>
      <c r="BF92" s="61"/>
      <c r="BG92" s="61">
        <v>25</v>
      </c>
      <c r="BH92" s="61"/>
      <c r="BI92" s="61"/>
      <c r="BJ92" s="61">
        <v>0.1</v>
      </c>
      <c r="BK92" s="61"/>
      <c r="BL92" s="61">
        <v>87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6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294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</row>
    <row r="93" spans="1:128" ht="30.75" customHeight="1">
      <c r="A93" s="196" t="s">
        <v>347</v>
      </c>
      <c r="B93" s="196"/>
      <c r="C93" s="196"/>
      <c r="D93" s="196"/>
      <c r="E93" s="197"/>
      <c r="F93" s="82" t="s">
        <v>197</v>
      </c>
      <c r="G93" s="90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>
        <f>VLOOKUP(завтрак7,таб,69,FALSE)</f>
        <v>0</v>
      </c>
      <c r="N93" s="71">
        <f>VLOOKUP(завтрак8,таб,69,FALSE)</f>
        <v>0</v>
      </c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>
        <f>VLOOKUP(обед4,таб,69,FALSE)</f>
        <v>0</v>
      </c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79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>
        <f>VLOOKUP(ужин3,таб,69,FALSE)</f>
        <v>0</v>
      </c>
      <c r="AC93" s="34">
        <f>VLOOKUP(ужин4,таб,69,FALSE)</f>
        <v>0</v>
      </c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79">
        <f>VLOOKUP(ужин8,таб,69,FALSE)</f>
        <v>0</v>
      </c>
      <c r="AH93" s="162"/>
      <c r="AI93" s="173">
        <f>AK93/сред</f>
        <v>0</v>
      </c>
      <c r="AJ93" s="174"/>
      <c r="AK93" s="165">
        <f>SUM(G94:AG94)</f>
        <v>0</v>
      </c>
      <c r="AL93" s="166"/>
      <c r="AM93" s="158">
        <f>IF(AK93=0,0,DG117)</f>
        <v>0</v>
      </c>
      <c r="AN93" s="160">
        <f>AK93*AM93</f>
        <v>0</v>
      </c>
      <c r="AP93">
        <v>92</v>
      </c>
      <c r="AQ93" s="62" t="s">
        <v>139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85</v>
      </c>
      <c r="BE93" s="61"/>
      <c r="BF93" s="61"/>
      <c r="BG93" s="61"/>
      <c r="BH93" s="61"/>
      <c r="BI93" s="61"/>
      <c r="BJ93" s="61">
        <v>0.1</v>
      </c>
      <c r="BK93" s="61"/>
      <c r="BL93" s="61">
        <v>85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20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296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</row>
    <row r="94" spans="1:128" ht="30.75" customHeight="1">
      <c r="A94" s="196"/>
      <c r="B94" s="196"/>
      <c r="C94" s="196"/>
      <c r="D94" s="196"/>
      <c r="E94" s="197"/>
      <c r="F94" s="83" t="s">
        <v>198</v>
      </c>
      <c r="G94" s="91">
        <f aca="true" t="shared" si="101" ref="G94:N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>
        <f t="shared" si="101"/>
      </c>
      <c r="N94" s="72">
        <f t="shared" si="101"/>
      </c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>
        <f t="shared" si="102"/>
      </c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72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>
        <f t="shared" si="103"/>
      </c>
      <c r="AC94" s="47">
        <f t="shared" si="103"/>
      </c>
      <c r="AD94" s="46">
        <f t="shared" si="103"/>
      </c>
      <c r="AE94" s="47">
        <f t="shared" si="103"/>
      </c>
      <c r="AF94" s="46">
        <f t="shared" si="103"/>
      </c>
      <c r="AG94" s="72">
        <f t="shared" si="103"/>
      </c>
      <c r="AH94" s="163"/>
      <c r="AI94" s="173"/>
      <c r="AJ94" s="174"/>
      <c r="AK94" s="167"/>
      <c r="AL94" s="168"/>
      <c r="AM94" s="159"/>
      <c r="AN94" s="161"/>
      <c r="AP94">
        <v>93</v>
      </c>
      <c r="AQ94" s="62" t="s">
        <v>140</v>
      </c>
      <c r="AR94" s="61"/>
      <c r="AS94" s="61"/>
      <c r="AT94" s="61">
        <v>163</v>
      </c>
      <c r="AU94" s="61"/>
      <c r="AV94" s="61"/>
      <c r="AW94" s="61"/>
      <c r="AX94" s="61"/>
      <c r="AY94" s="61"/>
      <c r="AZ94" s="61"/>
      <c r="BA94" s="61"/>
      <c r="BB94" s="61"/>
      <c r="BC94" s="61">
        <v>2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1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125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</row>
    <row r="95" spans="1:128" ht="30.75" customHeight="1">
      <c r="A95" s="237" t="s">
        <v>263</v>
      </c>
      <c r="B95" s="237"/>
      <c r="C95" s="237"/>
      <c r="D95" s="237"/>
      <c r="E95" s="238"/>
      <c r="F95" s="82" t="s">
        <v>197</v>
      </c>
      <c r="G95" s="93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>
        <f>VLOOKUP(завтрак7,таб,32,FALSE)</f>
        <v>0</v>
      </c>
      <c r="N95" s="71">
        <f>VLOOKUP(завтрак8,таб,32,FALSE)</f>
        <v>0</v>
      </c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>
        <f>VLOOKUP(обед4,таб,32,FALSE)</f>
        <v>0</v>
      </c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80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>
        <f>VLOOKUP(ужин3,таб,32,FALSE)</f>
        <v>0</v>
      </c>
      <c r="AC95" s="37">
        <f>VLOOKUP(ужин4,таб,32,FALSE)</f>
        <v>0</v>
      </c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80">
        <f>VLOOKUP(ужин8,таб,32,FALSE)</f>
        <v>0</v>
      </c>
      <c r="AH95" s="162">
        <v>614001</v>
      </c>
      <c r="AI95" s="173">
        <f>AK95/сред</f>
        <v>0</v>
      </c>
      <c r="AJ95" s="174"/>
      <c r="AK95" s="165">
        <f>SUM(G96:AG96)</f>
        <v>0</v>
      </c>
      <c r="AL95" s="166"/>
      <c r="AM95" s="158">
        <f>IF(AK95=0,0,BV117)</f>
        <v>0</v>
      </c>
      <c r="AN95" s="160">
        <f>AK95*AM95</f>
        <v>0</v>
      </c>
      <c r="AP95">
        <v>94</v>
      </c>
      <c r="AQ95" s="62" t="s">
        <v>141</v>
      </c>
      <c r="AR95" s="61"/>
      <c r="AS95" s="61"/>
      <c r="AT95" s="61">
        <v>160</v>
      </c>
      <c r="AU95" s="61"/>
      <c r="AV95" s="61"/>
      <c r="AW95" s="61"/>
      <c r="AX95" s="61"/>
      <c r="AY95" s="61"/>
      <c r="AZ95" s="61"/>
      <c r="BA95" s="61"/>
      <c r="BB95" s="61"/>
      <c r="BC95" s="61">
        <v>6</v>
      </c>
      <c r="BD95" s="61"/>
      <c r="BE95" s="61"/>
      <c r="BF95" s="61"/>
      <c r="BG95" s="61"/>
      <c r="BH95" s="61"/>
      <c r="BI95" s="61"/>
      <c r="BJ95" s="61"/>
      <c r="BK95" s="61"/>
      <c r="BL95" s="61">
        <v>2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158</v>
      </c>
      <c r="CH95" s="61"/>
      <c r="CI95" s="61">
        <v>24</v>
      </c>
      <c r="CJ95" s="61">
        <v>36</v>
      </c>
      <c r="CK95" s="61"/>
      <c r="CL95" s="61"/>
      <c r="CM95" s="61">
        <v>1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260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</row>
    <row r="96" spans="1:128" ht="30.75" customHeight="1">
      <c r="A96" s="239"/>
      <c r="B96" s="239"/>
      <c r="C96" s="239"/>
      <c r="D96" s="239"/>
      <c r="E96" s="240"/>
      <c r="F96" s="83" t="s">
        <v>198</v>
      </c>
      <c r="G96" s="92">
        <f aca="true" t="shared" si="104" ref="G96:N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>
        <f t="shared" si="104"/>
      </c>
      <c r="N96" s="72">
        <f t="shared" si="104"/>
      </c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>
        <f t="shared" si="105"/>
      </c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77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>
        <f t="shared" si="106"/>
      </c>
      <c r="AC96" s="49">
        <f t="shared" si="106"/>
      </c>
      <c r="AD96" s="45">
        <f t="shared" si="106"/>
      </c>
      <c r="AE96" s="49">
        <f t="shared" si="106"/>
      </c>
      <c r="AF96" s="45">
        <f t="shared" si="106"/>
      </c>
      <c r="AG96" s="77">
        <f t="shared" si="106"/>
      </c>
      <c r="AH96" s="163"/>
      <c r="AI96" s="173"/>
      <c r="AJ96" s="174"/>
      <c r="AK96" s="167"/>
      <c r="AL96" s="168"/>
      <c r="AM96" s="159"/>
      <c r="AN96" s="161"/>
      <c r="AP96">
        <v>95</v>
      </c>
      <c r="AQ96" s="62" t="s">
        <v>142</v>
      </c>
      <c r="AR96" s="61"/>
      <c r="AS96" s="61"/>
      <c r="AT96" s="61">
        <v>163</v>
      </c>
      <c r="AU96" s="61"/>
      <c r="AV96" s="61"/>
      <c r="AW96" s="61"/>
      <c r="AX96" s="61"/>
      <c r="AY96" s="61"/>
      <c r="AZ96" s="61"/>
      <c r="BA96" s="61"/>
      <c r="BB96" s="61"/>
      <c r="BC96" s="61">
        <v>2</v>
      </c>
      <c r="BD96" s="61"/>
      <c r="BE96" s="61"/>
      <c r="BF96" s="61"/>
      <c r="BG96" s="61">
        <v>25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298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</row>
    <row r="97" spans="1:128" ht="30.75" customHeight="1">
      <c r="A97" s="196" t="s">
        <v>35</v>
      </c>
      <c r="B97" s="196"/>
      <c r="C97" s="196"/>
      <c r="D97" s="196"/>
      <c r="E97" s="197"/>
      <c r="F97" s="82" t="s">
        <v>197</v>
      </c>
      <c r="G97" s="90">
        <f>VLOOKUP(завтрак1,таб,33,FALSE)</f>
        <v>10</v>
      </c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0</v>
      </c>
      <c r="K97" s="35">
        <f>VLOOKUP(завтрак5,таб,33,FALSE)</f>
        <v>0</v>
      </c>
      <c r="L97" s="35">
        <f>VLOOKUP(завтрак6,таб,33,FALSE)</f>
        <v>20</v>
      </c>
      <c r="M97" s="28">
        <f>VLOOKUP(завтрак7,таб,33,FALSE)</f>
        <v>0</v>
      </c>
      <c r="N97" s="71">
        <f>VLOOKUP(завтрак8,таб,33,FALSE)</f>
        <v>0</v>
      </c>
      <c r="O97" s="36">
        <f>VLOOKUP(обед1,таб,33,FALSE)</f>
        <v>3</v>
      </c>
      <c r="P97" s="35">
        <f>VLOOKUP(обед2,таб,33,FALSE)</f>
        <v>0</v>
      </c>
      <c r="Q97" s="34">
        <f>VLOOKUP(обед3,таб,33,FALSE)</f>
        <v>0</v>
      </c>
      <c r="R97" s="35">
        <f>VLOOKUP(обед4,таб,33,FALSE)</f>
        <v>0</v>
      </c>
      <c r="S97" s="34">
        <f>VLOOKUP(обед5,таб,33,FALSE)</f>
        <v>0</v>
      </c>
      <c r="T97" s="35">
        <f>VLOOKUP(обед6,таб,33,FALSE)</f>
        <v>0</v>
      </c>
      <c r="U97" s="34">
        <f>VLOOKUP(обед7,таб,33,FALSE)</f>
        <v>0</v>
      </c>
      <c r="V97" s="35">
        <f>VLOOKUP(обед8,таб,33,FALSE)</f>
        <v>0</v>
      </c>
      <c r="W97" s="35">
        <f>VLOOKUP(полдник1,таб,33,FALSE)</f>
        <v>10.5</v>
      </c>
      <c r="X97" s="35">
        <f>VLOOKUP(полдник2,таб,33,FALSE)</f>
        <v>0</v>
      </c>
      <c r="Y97" s="79">
        <f>VLOOKUP(полдник3,таб,33,FALSE)</f>
        <v>0</v>
      </c>
      <c r="Z97" s="36">
        <f>VLOOKUP(ужин1,таб,33,FALSE)</f>
        <v>0</v>
      </c>
      <c r="AA97" s="34">
        <f>VLOOKUP(ужин2,таб,33,FALSE)</f>
        <v>2</v>
      </c>
      <c r="AB97" s="35">
        <f>VLOOKUP(ужин3,таб,33,FALSE)</f>
        <v>0</v>
      </c>
      <c r="AC97" s="34">
        <f>VLOOKUP(ужин4,таб,33,FALSE)</f>
        <v>0</v>
      </c>
      <c r="AD97" s="35">
        <f>VLOOKUP(ужин5,таб,33,FALSE)</f>
        <v>0</v>
      </c>
      <c r="AE97" s="34">
        <f>VLOOKUP(ужин6,таб,33,FALSE)</f>
        <v>24</v>
      </c>
      <c r="AF97" s="35">
        <f>VLOOKUP(ужин7,таб,33,FALSE)</f>
        <v>0</v>
      </c>
      <c r="AG97" s="79">
        <f>VLOOKUP(ужин8,таб,33,FALSE)</f>
        <v>0</v>
      </c>
      <c r="AH97" s="162">
        <v>614002</v>
      </c>
      <c r="AI97" s="173">
        <f>AK97/сред</f>
        <v>0.06949999999999999</v>
      </c>
      <c r="AJ97" s="174"/>
      <c r="AK97" s="165">
        <f>SUM(G98:AG98)</f>
        <v>1.7374999999999998</v>
      </c>
      <c r="AL97" s="166"/>
      <c r="AM97" s="158">
        <f>IF(AK97=0,0,BW117)</f>
        <v>21</v>
      </c>
      <c r="AN97" s="160">
        <f>AK97*AM97</f>
        <v>36.4875</v>
      </c>
      <c r="AP97">
        <v>96</v>
      </c>
      <c r="AQ97" s="62" t="s">
        <v>143</v>
      </c>
      <c r="AR97" s="61"/>
      <c r="AS97" s="61"/>
      <c r="AT97" s="61">
        <v>164</v>
      </c>
      <c r="AU97" s="61"/>
      <c r="AV97" s="61"/>
      <c r="AW97" s="61"/>
      <c r="AX97" s="61"/>
      <c r="AY97" s="61"/>
      <c r="AZ97" s="61"/>
      <c r="BA97" s="61"/>
      <c r="BB97" s="61"/>
      <c r="BC97" s="61">
        <v>6</v>
      </c>
      <c r="BD97" s="61"/>
      <c r="BE97" s="61"/>
      <c r="BF97" s="61"/>
      <c r="BG97" s="61">
        <v>18.5</v>
      </c>
      <c r="BH97" s="61"/>
      <c r="BI97" s="61"/>
      <c r="BJ97" s="61"/>
      <c r="BK97" s="61"/>
      <c r="BL97" s="61">
        <v>4.5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100</v>
      </c>
      <c r="CH97" s="61"/>
      <c r="CI97" s="61">
        <v>18</v>
      </c>
      <c r="CJ97" s="61">
        <v>44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225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</row>
    <row r="98" spans="1:128" ht="30.75" customHeight="1">
      <c r="A98" s="196"/>
      <c r="B98" s="196"/>
      <c r="C98" s="196"/>
      <c r="D98" s="196"/>
      <c r="E98" s="197"/>
      <c r="F98" s="83" t="s">
        <v>198</v>
      </c>
      <c r="G98" s="91">
        <f aca="true" t="shared" si="107" ref="G98:N98">IF(G97=0,"",завтракл*G97/1000)</f>
        <v>0.25</v>
      </c>
      <c r="H98" s="47">
        <f t="shared" si="107"/>
      </c>
      <c r="I98" s="46">
        <f t="shared" si="107"/>
      </c>
      <c r="J98" s="47">
        <f t="shared" si="107"/>
      </c>
      <c r="K98" s="46">
        <f t="shared" si="107"/>
      </c>
      <c r="L98" s="46">
        <f t="shared" si="107"/>
        <v>0.5</v>
      </c>
      <c r="M98" s="46">
        <f t="shared" si="107"/>
      </c>
      <c r="N98" s="72">
        <f t="shared" si="107"/>
      </c>
      <c r="O98" s="48">
        <f aca="true" t="shared" si="108" ref="O98:V98">IF(O97=0,"",обідл*O97/1000)</f>
        <v>0.075</v>
      </c>
      <c r="P98" s="46">
        <f t="shared" si="108"/>
      </c>
      <c r="Q98" s="47">
        <f t="shared" si="108"/>
      </c>
      <c r="R98" s="46">
        <f t="shared" si="108"/>
      </c>
      <c r="S98" s="47">
        <f t="shared" si="108"/>
      </c>
      <c r="T98" s="46">
        <f t="shared" si="108"/>
      </c>
      <c r="U98" s="47">
        <f t="shared" si="108"/>
      </c>
      <c r="V98" s="46">
        <f t="shared" si="108"/>
      </c>
      <c r="W98" s="46">
        <f>IF(W97=0,"",полдникл*W97/1000)</f>
        <v>0.2625</v>
      </c>
      <c r="X98" s="46">
        <f>IF(X97=0,"",полдникл*X97/1000)</f>
      </c>
      <c r="Y98" s="72">
        <f>IF(Y97=0,"",полдникл*Y97/1000)</f>
      </c>
      <c r="Z98" s="48">
        <f aca="true" t="shared" si="109" ref="Z98:AG98">IF(Z97=0,"",ужинл*Z97/1000)</f>
      </c>
      <c r="AA98" s="47">
        <f t="shared" si="109"/>
        <v>0.05</v>
      </c>
      <c r="AB98" s="46">
        <f t="shared" si="109"/>
      </c>
      <c r="AC98" s="47">
        <f t="shared" si="109"/>
      </c>
      <c r="AD98" s="46">
        <f t="shared" si="109"/>
      </c>
      <c r="AE98" s="47">
        <f t="shared" si="109"/>
        <v>0.6</v>
      </c>
      <c r="AF98" s="46">
        <f t="shared" si="109"/>
      </c>
      <c r="AG98" s="72">
        <f t="shared" si="109"/>
      </c>
      <c r="AH98" s="163"/>
      <c r="AI98" s="173"/>
      <c r="AJ98" s="174"/>
      <c r="AK98" s="167"/>
      <c r="AL98" s="168"/>
      <c r="AM98" s="159"/>
      <c r="AN98" s="161"/>
      <c r="AP98">
        <v>97</v>
      </c>
      <c r="AQ98" s="62" t="s">
        <v>144</v>
      </c>
      <c r="AR98" s="61"/>
      <c r="AS98" s="61">
        <v>116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7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45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8</v>
      </c>
      <c r="CJ98" s="61">
        <v>13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200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</row>
    <row r="99" spans="1:128" ht="30.75" customHeight="1">
      <c r="A99" s="237" t="s">
        <v>37</v>
      </c>
      <c r="B99" s="237"/>
      <c r="C99" s="237"/>
      <c r="D99" s="237"/>
      <c r="E99" s="238"/>
      <c r="F99" s="82" t="s">
        <v>197</v>
      </c>
      <c r="G99" s="93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>
        <f>VLOOKUP(завтрак7,таб,34,FALSE)</f>
        <v>0</v>
      </c>
      <c r="N99" s="71">
        <f>VLOOKUP(завтрак8,таб,34,FALSE)</f>
        <v>0</v>
      </c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>
        <f>VLOOKUP(обед4,таб,34,FALSE)</f>
        <v>0</v>
      </c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80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>
        <f>VLOOKUP(ужин3,таб,34,FALSE)</f>
        <v>0</v>
      </c>
      <c r="AC99" s="37">
        <f>VLOOKUP(ужин4,таб,34,FALSE)</f>
        <v>0</v>
      </c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80">
        <f>VLOOKUP(ужин8,таб,34,FALSE)</f>
        <v>0</v>
      </c>
      <c r="AH99" s="162">
        <v>614018</v>
      </c>
      <c r="AI99" s="173">
        <f>AK99/сред</f>
        <v>0</v>
      </c>
      <c r="AJ99" s="174"/>
      <c r="AK99" s="165">
        <f>SUM(G100:AG100)</f>
        <v>0</v>
      </c>
      <c r="AL99" s="166"/>
      <c r="AM99" s="158">
        <f>IF(AK99=0,0,BX117)</f>
        <v>0</v>
      </c>
      <c r="AN99" s="160">
        <f>AK99*AM99</f>
        <v>0</v>
      </c>
      <c r="AP99">
        <v>98</v>
      </c>
      <c r="AQ99" s="62" t="s">
        <v>145</v>
      </c>
      <c r="AR99" s="61"/>
      <c r="AS99" s="61">
        <v>160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148</v>
      </c>
      <c r="CH99" s="61">
        <v>148</v>
      </c>
      <c r="CI99" s="61">
        <v>37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320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</row>
    <row r="100" spans="1:128" ht="30.75" customHeight="1">
      <c r="A100" s="239"/>
      <c r="B100" s="239"/>
      <c r="C100" s="239"/>
      <c r="D100" s="239"/>
      <c r="E100" s="240"/>
      <c r="F100" s="83" t="s">
        <v>198</v>
      </c>
      <c r="G100" s="92">
        <f aca="true" t="shared" si="110" ref="G100:N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>
        <f t="shared" si="110"/>
      </c>
      <c r="N100" s="72">
        <f t="shared" si="110"/>
      </c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>
        <f t="shared" si="111"/>
      </c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77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>
        <f t="shared" si="112"/>
      </c>
      <c r="AC100" s="49">
        <f t="shared" si="112"/>
      </c>
      <c r="AD100" s="45">
        <f t="shared" si="112"/>
      </c>
      <c r="AE100" s="49">
        <f t="shared" si="112"/>
      </c>
      <c r="AF100" s="45">
        <f t="shared" si="112"/>
      </c>
      <c r="AG100" s="77">
        <f t="shared" si="112"/>
      </c>
      <c r="AH100" s="163"/>
      <c r="AI100" s="173"/>
      <c r="AJ100" s="174"/>
      <c r="AK100" s="167"/>
      <c r="AL100" s="168"/>
      <c r="AM100" s="159"/>
      <c r="AN100" s="161"/>
      <c r="AP100">
        <v>99</v>
      </c>
      <c r="AQ100" s="62" t="s">
        <v>146</v>
      </c>
      <c r="AR100" s="61"/>
      <c r="AS100" s="61">
        <v>98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1</v>
      </c>
      <c r="BD100" s="61"/>
      <c r="BE100" s="61"/>
      <c r="BF100" s="61"/>
      <c r="BG100" s="61"/>
      <c r="BH100" s="61"/>
      <c r="BI100" s="61"/>
      <c r="BJ100" s="61"/>
      <c r="BK100" s="61"/>
      <c r="BL100" s="61">
        <v>2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142</v>
      </c>
      <c r="CH100" s="61"/>
      <c r="CI100" s="61">
        <v>15</v>
      </c>
      <c r="CJ100" s="61">
        <v>26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225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</row>
    <row r="101" spans="1:128" ht="30.75" customHeight="1">
      <c r="A101" s="196" t="s">
        <v>38</v>
      </c>
      <c r="B101" s="196"/>
      <c r="C101" s="196"/>
      <c r="D101" s="196"/>
      <c r="E101" s="197"/>
      <c r="F101" s="82" t="s">
        <v>197</v>
      </c>
      <c r="G101" s="90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0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>
        <f>VLOOKUP(завтрак7,таб,35,FALSE)</f>
        <v>0</v>
      </c>
      <c r="N101" s="71">
        <f>VLOOKUP(завтрак8,таб,35,FALSE)</f>
        <v>0</v>
      </c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>
        <f>VLOOKUP(обед4,таб,35,FALSE)</f>
        <v>0</v>
      </c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>
        <f>VLOOKUP(полдник1,таб,35,FALSE)</f>
        <v>0</v>
      </c>
      <c r="X101" s="35">
        <f>VLOOKUP(полдник2,таб,35,FALSE)</f>
        <v>0</v>
      </c>
      <c r="Y101" s="79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>
        <f>VLOOKUP(ужин3,таб,35,FALSE)</f>
        <v>0</v>
      </c>
      <c r="AC101" s="34">
        <f>VLOOKUP(ужин4,таб,35,FALSE)</f>
        <v>0</v>
      </c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79">
        <f>VLOOKUP(ужин8,таб,35,FALSE)</f>
        <v>0</v>
      </c>
      <c r="AH101" s="162">
        <v>614024</v>
      </c>
      <c r="AI101" s="173">
        <f>AK101/сред</f>
        <v>0</v>
      </c>
      <c r="AJ101" s="174"/>
      <c r="AK101" s="165">
        <f>SUM(G102:AG102)</f>
        <v>0</v>
      </c>
      <c r="AL101" s="166"/>
      <c r="AM101" s="158">
        <f>IF(AK101=0,0,BY117)</f>
        <v>0</v>
      </c>
      <c r="AN101" s="160">
        <f>AK101*AM101</f>
        <v>0</v>
      </c>
      <c r="AP101">
        <v>100</v>
      </c>
      <c r="AQ101" s="62" t="s">
        <v>147</v>
      </c>
      <c r="AR101" s="61"/>
      <c r="AS101" s="61">
        <v>130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7</v>
      </c>
      <c r="BD101" s="61"/>
      <c r="BE101" s="61"/>
      <c r="BF101" s="61"/>
      <c r="BG101" s="61"/>
      <c r="BH101" s="61"/>
      <c r="BI101" s="61"/>
      <c r="BJ101" s="61"/>
      <c r="BK101" s="61"/>
      <c r="BL101" s="61">
        <v>3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18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299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</row>
    <row r="102" spans="1:128" ht="30.75" customHeight="1">
      <c r="A102" s="196"/>
      <c r="B102" s="196"/>
      <c r="C102" s="196"/>
      <c r="D102" s="196"/>
      <c r="E102" s="197"/>
      <c r="F102" s="83" t="s">
        <v>198</v>
      </c>
      <c r="G102" s="91">
        <f aca="true" t="shared" si="113" ref="G102:N102">IF(G101=0,"",завтракл*G101/1000)</f>
      </c>
      <c r="H102" s="47">
        <f t="shared" si="113"/>
      </c>
      <c r="I102" s="46">
        <f t="shared" si="113"/>
      </c>
      <c r="J102" s="47">
        <f t="shared" si="113"/>
      </c>
      <c r="K102" s="46">
        <f t="shared" si="113"/>
      </c>
      <c r="L102" s="46">
        <f t="shared" si="113"/>
      </c>
      <c r="M102" s="46">
        <f t="shared" si="113"/>
      </c>
      <c r="N102" s="72">
        <f t="shared" si="113"/>
      </c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>
        <f t="shared" si="114"/>
      </c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</c>
      <c r="X102" s="46">
        <f>IF(X101=0,"",полдникл*X101/1000)</f>
      </c>
      <c r="Y102" s="72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>
        <f t="shared" si="115"/>
      </c>
      <c r="AC102" s="47">
        <f t="shared" si="115"/>
      </c>
      <c r="AD102" s="46">
        <f t="shared" si="115"/>
      </c>
      <c r="AE102" s="47">
        <f t="shared" si="115"/>
      </c>
      <c r="AF102" s="46">
        <f t="shared" si="115"/>
      </c>
      <c r="AG102" s="72">
        <f t="shared" si="115"/>
      </c>
      <c r="AH102" s="163"/>
      <c r="AI102" s="173"/>
      <c r="AJ102" s="174"/>
      <c r="AK102" s="167"/>
      <c r="AL102" s="168"/>
      <c r="AM102" s="159"/>
      <c r="AN102" s="161"/>
      <c r="AP102">
        <v>101</v>
      </c>
      <c r="AQ102" s="62" t="s">
        <v>148</v>
      </c>
      <c r="AR102" s="61">
        <v>160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>
        <v>5</v>
      </c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305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</row>
    <row r="103" spans="1:128" ht="30.75" customHeight="1">
      <c r="A103" s="237" t="s">
        <v>39</v>
      </c>
      <c r="B103" s="237"/>
      <c r="C103" s="237"/>
      <c r="D103" s="237"/>
      <c r="E103" s="238"/>
      <c r="F103" s="82" t="s">
        <v>197</v>
      </c>
      <c r="G103" s="93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0</v>
      </c>
      <c r="M103" s="28">
        <f>VLOOKUP(завтрак7,таб,36,FALSE)</f>
        <v>0</v>
      </c>
      <c r="N103" s="71">
        <f>VLOOKUP(завтрак8,таб,36,FALSE)</f>
        <v>0</v>
      </c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>
        <f>VLOOKUP(обед4,таб,36,FALSE)</f>
        <v>0</v>
      </c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80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>
        <f>VLOOKUP(ужин3,таб,36,FALSE)</f>
        <v>0</v>
      </c>
      <c r="AC103" s="37">
        <f>VLOOKUP(ужин4,таб,36,FALSE)</f>
        <v>35</v>
      </c>
      <c r="AD103" s="38">
        <f>VLOOKUP(ужин5,таб,36,FALSE)</f>
        <v>0</v>
      </c>
      <c r="AE103" s="37">
        <f>VLOOKUP(ужин6,таб,36,FALSE)</f>
        <v>0</v>
      </c>
      <c r="AF103" s="38">
        <f>VLOOKUP(ужин7,таб,36,FALSE)</f>
        <v>0</v>
      </c>
      <c r="AG103" s="80">
        <f>VLOOKUP(ужин8,таб,36,FALSE)</f>
        <v>0</v>
      </c>
      <c r="AH103" s="162">
        <v>614044</v>
      </c>
      <c r="AI103" s="173">
        <f>AK103/сред</f>
        <v>0.035</v>
      </c>
      <c r="AJ103" s="174"/>
      <c r="AK103" s="165">
        <f>SUM(G104:AG104)</f>
        <v>0.875</v>
      </c>
      <c r="AL103" s="166"/>
      <c r="AM103" s="158">
        <f>IF(AK103=0,0,BZ117)</f>
        <v>62.7</v>
      </c>
      <c r="AN103" s="160">
        <f>AK103*AM103</f>
        <v>54.862500000000004</v>
      </c>
      <c r="AP103">
        <v>102</v>
      </c>
      <c r="AQ103" s="62" t="s">
        <v>155</v>
      </c>
      <c r="AR103" s="61">
        <v>110</v>
      </c>
      <c r="AS103" s="61"/>
      <c r="AT103" s="61"/>
      <c r="AU103" s="61"/>
      <c r="AV103" s="61"/>
      <c r="AW103" s="61"/>
      <c r="AX103" s="61"/>
      <c r="AY103" s="61"/>
      <c r="AZ103" s="61">
        <v>5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3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15</v>
      </c>
      <c r="CJ103" s="61">
        <v>15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 t="s">
        <v>301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</row>
    <row r="104" spans="1:128" ht="30.75" customHeight="1">
      <c r="A104" s="239"/>
      <c r="B104" s="239"/>
      <c r="C104" s="239"/>
      <c r="D104" s="239"/>
      <c r="E104" s="240"/>
      <c r="F104" s="83" t="s">
        <v>198</v>
      </c>
      <c r="G104" s="92">
        <f aca="true" t="shared" si="116" ref="G104:N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</c>
      <c r="M104" s="46">
        <f t="shared" si="116"/>
      </c>
      <c r="N104" s="72">
        <f t="shared" si="116"/>
      </c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>
        <f t="shared" si="117"/>
      </c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77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>
        <f t="shared" si="118"/>
      </c>
      <c r="AC104" s="49">
        <f t="shared" si="118"/>
        <v>0.875</v>
      </c>
      <c r="AD104" s="45">
        <f t="shared" si="118"/>
      </c>
      <c r="AE104" s="49">
        <f t="shared" si="118"/>
      </c>
      <c r="AF104" s="45">
        <f t="shared" si="118"/>
      </c>
      <c r="AG104" s="77">
        <f t="shared" si="118"/>
      </c>
      <c r="AH104" s="163"/>
      <c r="AI104" s="173"/>
      <c r="AJ104" s="174"/>
      <c r="AK104" s="167"/>
      <c r="AL104" s="168"/>
      <c r="AM104" s="159"/>
      <c r="AN104" s="161"/>
      <c r="AQ104" s="62" t="s">
        <v>156</v>
      </c>
      <c r="AR104" s="61">
        <v>161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7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154</v>
      </c>
      <c r="CH104" s="61"/>
      <c r="CI104" s="61">
        <v>17.3</v>
      </c>
      <c r="CJ104" s="61">
        <v>30</v>
      </c>
      <c r="CK104" s="61"/>
      <c r="CL104" s="61"/>
      <c r="CM104" s="61">
        <v>2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260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</row>
    <row r="105" spans="1:128" ht="30.75" customHeight="1">
      <c r="A105" s="196" t="s">
        <v>40</v>
      </c>
      <c r="B105" s="196"/>
      <c r="C105" s="196"/>
      <c r="D105" s="196"/>
      <c r="E105" s="197"/>
      <c r="F105" s="82" t="s">
        <v>197</v>
      </c>
      <c r="G105" s="90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>
        <f>VLOOKUP(завтрак7,таб,37,FALSE)</f>
        <v>0</v>
      </c>
      <c r="N105" s="71">
        <f>VLOOKUP(завтрак8,таб,37,FALSE)</f>
        <v>0</v>
      </c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>
        <f>VLOOKUP(обед4,таб,37,FALSE)</f>
        <v>0</v>
      </c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79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>
        <f>VLOOKUP(ужин3,таб,37,FALSE)</f>
        <v>0</v>
      </c>
      <c r="AC105" s="34">
        <f>VLOOKUP(ужин4,таб,37,FALSE)</f>
        <v>0</v>
      </c>
      <c r="AD105" s="35">
        <f>VLOOKUP(ужин5,таб,37,FALSE)</f>
        <v>0</v>
      </c>
      <c r="AE105" s="34">
        <f>VLOOKUP(ужин6,таб,37,FALSE)</f>
        <v>0</v>
      </c>
      <c r="AF105" s="35">
        <f>VLOOKUP(ужин7,таб,37,FALSE)</f>
        <v>0</v>
      </c>
      <c r="AG105" s="79">
        <f>VLOOKUP(ужин8,таб,37,FALSE)</f>
        <v>0</v>
      </c>
      <c r="AH105" s="162">
        <v>614074</v>
      </c>
      <c r="AI105" s="173">
        <f>AK105/сред</f>
        <v>0</v>
      </c>
      <c r="AJ105" s="174"/>
      <c r="AK105" s="165">
        <f>SUM(G106:AG106)</f>
        <v>0</v>
      </c>
      <c r="AL105" s="166"/>
      <c r="AM105" s="158">
        <f>IF(AK105=0,0,CA117)</f>
        <v>0</v>
      </c>
      <c r="AN105" s="160">
        <f>AK105*AM105</f>
        <v>0</v>
      </c>
      <c r="AQ105" s="62" t="s">
        <v>157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</row>
    <row r="106" spans="1:128" ht="30.75" customHeight="1">
      <c r="A106" s="196"/>
      <c r="B106" s="196"/>
      <c r="C106" s="196"/>
      <c r="D106" s="196"/>
      <c r="E106" s="197"/>
      <c r="F106" s="83" t="s">
        <v>198</v>
      </c>
      <c r="G106" s="91">
        <f aca="true" t="shared" si="119" ref="G106:N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>
        <f t="shared" si="119"/>
      </c>
      <c r="N106" s="72">
        <f t="shared" si="119"/>
      </c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>
        <f t="shared" si="120"/>
      </c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72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>
        <f t="shared" si="121"/>
      </c>
      <c r="AC106" s="47">
        <f t="shared" si="121"/>
      </c>
      <c r="AD106" s="46">
        <f t="shared" si="121"/>
      </c>
      <c r="AE106" s="47">
        <f t="shared" si="121"/>
      </c>
      <c r="AF106" s="46">
        <f t="shared" si="121"/>
      </c>
      <c r="AG106" s="72">
        <f t="shared" si="121"/>
      </c>
      <c r="AH106" s="163"/>
      <c r="AI106" s="173"/>
      <c r="AJ106" s="174"/>
      <c r="AK106" s="167"/>
      <c r="AL106" s="168"/>
      <c r="AM106" s="159"/>
      <c r="AN106" s="161"/>
      <c r="AQ106" s="62" t="s">
        <v>158</v>
      </c>
      <c r="AR106" s="61"/>
      <c r="AS106" s="61">
        <v>126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6</v>
      </c>
      <c r="BD106" s="61">
        <v>15</v>
      </c>
      <c r="BE106" s="61"/>
      <c r="BF106" s="61"/>
      <c r="BG106" s="61"/>
      <c r="BH106" s="61"/>
      <c r="BI106" s="61"/>
      <c r="BJ106" s="61">
        <v>0.1</v>
      </c>
      <c r="BK106" s="61"/>
      <c r="BL106" s="61">
        <v>5</v>
      </c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14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105</v>
      </c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</row>
    <row r="107" spans="1:128" ht="30.75" customHeight="1">
      <c r="A107" s="196" t="s">
        <v>41</v>
      </c>
      <c r="B107" s="196"/>
      <c r="C107" s="196"/>
      <c r="D107" s="196"/>
      <c r="E107" s="197"/>
      <c r="F107" s="82" t="s">
        <v>197</v>
      </c>
      <c r="G107" s="90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>
        <f>VLOOKUP(завтрак7,таб,38,FALSE)</f>
        <v>0</v>
      </c>
      <c r="N107" s="71">
        <f>VLOOKUP(завтрак8,таб,38,FALSE)</f>
        <v>0</v>
      </c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>
        <f>VLOOKUP(обед4,таб,38,FALSE)</f>
        <v>0</v>
      </c>
      <c r="S107" s="34">
        <f>VLOOKUP(обед5,таб,38,FALSE)</f>
        <v>0</v>
      </c>
      <c r="T107" s="35">
        <f>VLOOKUP(обед6,таб,38,FALSE)</f>
        <v>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0</v>
      </c>
      <c r="Y107" s="79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>
        <f>VLOOKUP(ужин3,таб,38,FALSE)</f>
        <v>0</v>
      </c>
      <c r="AC107" s="34">
        <f>VLOOKUP(ужин4,таб,38,FALSE)</f>
        <v>0</v>
      </c>
      <c r="AD107" s="35">
        <f>VLOOKUP(ужин5,таб,38,FALSE)</f>
        <v>0</v>
      </c>
      <c r="AE107" s="34">
        <f>VLOOKUP(ужин6,таб,38,FALSE)</f>
        <v>12</v>
      </c>
      <c r="AF107" s="35">
        <f>VLOOKUP(ужин7,таб,38,FALSE)</f>
        <v>0</v>
      </c>
      <c r="AG107" s="79">
        <f>VLOOKUP(ужин8,таб,38,FALSE)</f>
        <v>0</v>
      </c>
      <c r="AH107" s="162">
        <v>615027</v>
      </c>
      <c r="AI107" s="173">
        <f>AK107/сред</f>
        <v>0.012</v>
      </c>
      <c r="AJ107" s="174"/>
      <c r="AK107" s="165">
        <f>SUM(G108:AG108)</f>
        <v>0.3</v>
      </c>
      <c r="AL107" s="166"/>
      <c r="AM107" s="158">
        <f>IF(AK107=0,0,CB117)</f>
        <v>62</v>
      </c>
      <c r="AN107" s="160">
        <f>AK107*AM107</f>
        <v>18.599999999999998</v>
      </c>
      <c r="AQ107" s="62" t="s">
        <v>159</v>
      </c>
      <c r="AR107" s="61">
        <v>146</v>
      </c>
      <c r="AS107" s="61"/>
      <c r="AT107" s="61"/>
      <c r="AU107" s="61"/>
      <c r="AV107" s="61"/>
      <c r="AW107" s="61"/>
      <c r="AX107" s="61"/>
      <c r="AY107" s="61"/>
      <c r="AZ107" s="61">
        <v>6.6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45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8</v>
      </c>
      <c r="CJ107" s="61">
        <v>13.3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200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</row>
    <row r="108" spans="1:128" ht="30.75" customHeight="1">
      <c r="A108" s="196"/>
      <c r="B108" s="196"/>
      <c r="C108" s="196"/>
      <c r="D108" s="196"/>
      <c r="E108" s="197"/>
      <c r="F108" s="83" t="s">
        <v>198</v>
      </c>
      <c r="G108" s="91">
        <f aca="true" t="shared" si="122" ref="G108:N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>
        <f t="shared" si="122"/>
      </c>
      <c r="N108" s="72">
        <f t="shared" si="122"/>
      </c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>
        <f t="shared" si="123"/>
      </c>
      <c r="S108" s="47">
        <f t="shared" si="123"/>
      </c>
      <c r="T108" s="46">
        <f t="shared" si="123"/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</c>
      <c r="Y108" s="72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>
        <f t="shared" si="124"/>
      </c>
      <c r="AC108" s="47">
        <f t="shared" si="124"/>
      </c>
      <c r="AD108" s="46">
        <f t="shared" si="124"/>
      </c>
      <c r="AE108" s="47">
        <f t="shared" si="124"/>
        <v>0.3</v>
      </c>
      <c r="AF108" s="46">
        <f t="shared" si="124"/>
      </c>
      <c r="AG108" s="72">
        <f t="shared" si="124"/>
      </c>
      <c r="AH108" s="163"/>
      <c r="AI108" s="173"/>
      <c r="AJ108" s="174"/>
      <c r="AK108" s="167"/>
      <c r="AL108" s="168"/>
      <c r="AM108" s="159"/>
      <c r="AN108" s="161"/>
      <c r="AQ108" s="62" t="s">
        <v>160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300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</row>
    <row r="109" spans="1:128" ht="30.75" customHeight="1">
      <c r="A109" s="237" t="s">
        <v>243</v>
      </c>
      <c r="B109" s="237"/>
      <c r="C109" s="237"/>
      <c r="D109" s="237"/>
      <c r="E109" s="238"/>
      <c r="F109" s="82" t="s">
        <v>197</v>
      </c>
      <c r="G109" s="93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>
        <f>VLOOKUP(завтрак7,таб,39,FALSE)</f>
        <v>0</v>
      </c>
      <c r="N109" s="71">
        <f>VLOOKUP(завтрак8,таб,39,FALSE)</f>
        <v>0</v>
      </c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>
        <f>VLOOKUP(обед4,таб,39,FALSE)</f>
        <v>0</v>
      </c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/>
      <c r="X109" s="38">
        <f>VLOOKUP(полдник2,таб,39,FALSE)</f>
        <v>0</v>
      </c>
      <c r="Y109" s="80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>
        <f>VLOOKUP(ужин3,таб,39,FALSE)</f>
        <v>0</v>
      </c>
      <c r="AC109" s="37">
        <f>VLOOKUP(ужин4,таб,39,FALSE)</f>
        <v>0</v>
      </c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80">
        <f>VLOOKUP(ужин8,таб,39,FALSE)</f>
        <v>0</v>
      </c>
      <c r="AH109" s="162">
        <v>615028</v>
      </c>
      <c r="AI109" s="173">
        <f>AK109/сред</f>
        <v>0</v>
      </c>
      <c r="AJ109" s="174"/>
      <c r="AK109" s="165">
        <f>SUM(G110:AG110)</f>
        <v>0</v>
      </c>
      <c r="AL109" s="166"/>
      <c r="AM109" s="158">
        <f>IF(AK109=0,0,CC117)</f>
        <v>0</v>
      </c>
      <c r="AN109" s="160">
        <f>AK109*AM109</f>
        <v>0</v>
      </c>
      <c r="AQ109" s="62" t="s">
        <v>161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300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</row>
    <row r="110" spans="1:128" ht="30.75" customHeight="1">
      <c r="A110" s="239"/>
      <c r="B110" s="239"/>
      <c r="C110" s="239"/>
      <c r="D110" s="239"/>
      <c r="E110" s="240"/>
      <c r="F110" s="83" t="s">
        <v>198</v>
      </c>
      <c r="G110" s="92">
        <f aca="true" t="shared" si="125" ref="G110:N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>
        <f t="shared" si="125"/>
      </c>
      <c r="N110" s="72">
        <f t="shared" si="125"/>
      </c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>
        <f t="shared" si="126"/>
      </c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77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>
        <f t="shared" si="127"/>
      </c>
      <c r="AC110" s="49">
        <f t="shared" si="127"/>
      </c>
      <c r="AD110" s="45">
        <f t="shared" si="127"/>
      </c>
      <c r="AE110" s="49">
        <f t="shared" si="127"/>
      </c>
      <c r="AF110" s="45">
        <f t="shared" si="127"/>
      </c>
      <c r="AG110" s="77">
        <f t="shared" si="127"/>
      </c>
      <c r="AH110" s="163"/>
      <c r="AI110" s="173"/>
      <c r="AJ110" s="174"/>
      <c r="AK110" s="167"/>
      <c r="AL110" s="168"/>
      <c r="AM110" s="159"/>
      <c r="AN110" s="161"/>
      <c r="AQ110" s="62" t="s">
        <v>162</v>
      </c>
      <c r="AR110" s="61"/>
      <c r="AS110" s="61">
        <v>150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7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228</v>
      </c>
      <c r="CH110" s="61"/>
      <c r="CI110" s="61">
        <v>21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300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</row>
    <row r="111" spans="1:128" ht="30.75" customHeight="1">
      <c r="A111" s="196" t="s">
        <v>42</v>
      </c>
      <c r="B111" s="196"/>
      <c r="C111" s="196"/>
      <c r="D111" s="196"/>
      <c r="E111" s="197"/>
      <c r="F111" s="82" t="s">
        <v>197</v>
      </c>
      <c r="G111" s="90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>
        <f>VLOOKUP(завтрак7,таб,40,FALSE)</f>
        <v>0</v>
      </c>
      <c r="N111" s="71">
        <f>VLOOKUP(завтрак8,таб,40,FALSE)</f>
        <v>0</v>
      </c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>
        <f>VLOOKUP(обед4,таб,40,FALSE)</f>
        <v>200</v>
      </c>
      <c r="S111" s="34">
        <f>VLOOKUP(обед5,таб,40,FALSE)</f>
        <v>0</v>
      </c>
      <c r="T111" s="35">
        <f>VLOOKUP(обед6,таб,40,FALSE)</f>
        <v>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0</v>
      </c>
      <c r="Y111" s="79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>
        <f>VLOOKUP(ужин3,таб,40,FALSE)</f>
        <v>0</v>
      </c>
      <c r="AC111" s="34">
        <f>VLOOKUP(ужин4,таб,40,FALSE)</f>
        <v>0</v>
      </c>
      <c r="AD111" s="35">
        <f>VLOOKUP(ужин5,таб,40,FALSE)</f>
        <v>0</v>
      </c>
      <c r="AE111" s="34">
        <f>VLOOKUP(ужин6,таб,40,FALSE)</f>
        <v>0</v>
      </c>
      <c r="AF111" s="35">
        <f>VLOOKUP(ужин7,таб,40,FALSE)</f>
        <v>0</v>
      </c>
      <c r="AG111" s="79">
        <f>VLOOKUP(ужин8,таб,40,FALSE)</f>
        <v>0</v>
      </c>
      <c r="AH111" s="162"/>
      <c r="AI111" s="173">
        <f>AK111/сред</f>
        <v>0.2</v>
      </c>
      <c r="AJ111" s="174"/>
      <c r="AK111" s="165">
        <f>SUM(G112:AG112)</f>
        <v>5</v>
      </c>
      <c r="AL111" s="166"/>
      <c r="AM111" s="158">
        <f>IF(AK111=0,0,CD117)</f>
        <v>21.7</v>
      </c>
      <c r="AN111" s="160">
        <f>AK111*AM111</f>
        <v>108.5</v>
      </c>
      <c r="AQ111" s="62" t="s">
        <v>163</v>
      </c>
      <c r="AR111" s="61"/>
      <c r="AS111" s="61"/>
      <c r="AT111" s="61"/>
      <c r="AU111" s="61"/>
      <c r="AV111" s="61"/>
      <c r="AW111" s="61"/>
      <c r="AX111" s="61"/>
      <c r="AY111" s="61"/>
      <c r="AZ111" s="61">
        <v>3.5</v>
      </c>
      <c r="BA111" s="61"/>
      <c r="BB111" s="61"/>
      <c r="BC111" s="61">
        <v>3.5</v>
      </c>
      <c r="BD111" s="61"/>
      <c r="BE111" s="61"/>
      <c r="BF111" s="61"/>
      <c r="BG111" s="61"/>
      <c r="BH111" s="61"/>
      <c r="BI111" s="61"/>
      <c r="BJ111" s="61"/>
      <c r="BK111" s="61"/>
      <c r="BL111" s="61">
        <v>27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93</v>
      </c>
      <c r="CH111" s="61"/>
      <c r="CI111" s="61">
        <v>17</v>
      </c>
      <c r="CJ111" s="61">
        <v>17.5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350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</row>
    <row r="112" spans="1:128" ht="30.75" customHeight="1">
      <c r="A112" s="196"/>
      <c r="B112" s="196"/>
      <c r="C112" s="196"/>
      <c r="D112" s="196"/>
      <c r="E112" s="197"/>
      <c r="F112" s="83" t="s">
        <v>198</v>
      </c>
      <c r="G112" s="91">
        <f aca="true" t="shared" si="128" ref="G112:N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>
        <f t="shared" si="128"/>
      </c>
      <c r="N112" s="72">
        <f t="shared" si="128"/>
      </c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>
        <f t="shared" si="129"/>
        <v>5</v>
      </c>
      <c r="S112" s="47">
        <f t="shared" si="129"/>
      </c>
      <c r="T112" s="46">
        <f t="shared" si="129"/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</c>
      <c r="Y112" s="72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>
        <f t="shared" si="130"/>
      </c>
      <c r="AC112" s="47">
        <f t="shared" si="130"/>
      </c>
      <c r="AD112" s="46">
        <f t="shared" si="130"/>
      </c>
      <c r="AE112" s="47">
        <f t="shared" si="130"/>
      </c>
      <c r="AF112" s="46">
        <f t="shared" si="130"/>
      </c>
      <c r="AG112" s="72">
        <f t="shared" si="130"/>
      </c>
      <c r="AH112" s="163"/>
      <c r="AI112" s="173"/>
      <c r="AJ112" s="174"/>
      <c r="AK112" s="167"/>
      <c r="AL112" s="168"/>
      <c r="AM112" s="159"/>
      <c r="AN112" s="161"/>
      <c r="AQ112" s="62" t="s">
        <v>165</v>
      </c>
      <c r="AR112" s="61"/>
      <c r="AS112" s="61"/>
      <c r="AT112" s="61"/>
      <c r="AU112" s="61"/>
      <c r="AV112" s="61"/>
      <c r="AW112" s="61"/>
      <c r="AX112" s="61"/>
      <c r="AY112" s="61"/>
      <c r="AZ112" s="61">
        <v>20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20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</row>
    <row r="113" spans="1:128" ht="30.75" customHeight="1">
      <c r="A113" s="196" t="s">
        <v>43</v>
      </c>
      <c r="B113" s="196"/>
      <c r="C113" s="196"/>
      <c r="D113" s="196"/>
      <c r="E113" s="197"/>
      <c r="F113" s="82" t="s">
        <v>197</v>
      </c>
      <c r="G113" s="93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>
        <f>VLOOKUP(завтрак7,таб,41,FALSE)</f>
        <v>0</v>
      </c>
      <c r="N113" s="71">
        <f>VLOOKUP(завтрак8,таб,41,FALSE)</f>
        <v>0</v>
      </c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>
        <f>VLOOKUP(обед4,таб,41,FALSE)</f>
        <v>0</v>
      </c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80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>
        <f>VLOOKUP(ужин3,таб,41,FALSE)</f>
        <v>0</v>
      </c>
      <c r="AC113" s="37">
        <f>VLOOKUP(ужин4,таб,41,FALSE)</f>
        <v>0</v>
      </c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80">
        <f>VLOOKUP(ужин8,таб,41,FALSE)</f>
        <v>0</v>
      </c>
      <c r="AH113" s="162"/>
      <c r="AI113" s="173">
        <f>AK113/сред</f>
        <v>0</v>
      </c>
      <c r="AJ113" s="174"/>
      <c r="AK113" s="165">
        <f>SUM(G114:AG114)</f>
        <v>0</v>
      </c>
      <c r="AL113" s="166"/>
      <c r="AM113" s="158">
        <f>IF(AK113=0,0,CE117)</f>
        <v>0</v>
      </c>
      <c r="AN113" s="160">
        <f>AK113*AM113</f>
        <v>0</v>
      </c>
      <c r="AQ113" s="62" t="s">
        <v>167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</row>
    <row r="114" spans="1:128" ht="30.75" customHeight="1">
      <c r="A114" s="239"/>
      <c r="B114" s="239"/>
      <c r="C114" s="239"/>
      <c r="D114" s="239"/>
      <c r="E114" s="240"/>
      <c r="F114" s="83" t="s">
        <v>198</v>
      </c>
      <c r="G114" s="92">
        <f aca="true" t="shared" si="131" ref="G114:N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>
        <f t="shared" si="131"/>
      </c>
      <c r="N114" s="72">
        <f t="shared" si="131"/>
      </c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>
        <f t="shared" si="132"/>
      </c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77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>
        <f t="shared" si="133"/>
      </c>
      <c r="AC114" s="49">
        <f t="shared" si="133"/>
      </c>
      <c r="AD114" s="45">
        <f t="shared" si="133"/>
      </c>
      <c r="AE114" s="49">
        <f t="shared" si="133"/>
      </c>
      <c r="AF114" s="45">
        <f t="shared" si="133"/>
      </c>
      <c r="AG114" s="77">
        <f t="shared" si="133"/>
      </c>
      <c r="AH114" s="163"/>
      <c r="AI114" s="173"/>
      <c r="AJ114" s="174"/>
      <c r="AK114" s="167"/>
      <c r="AL114" s="168"/>
      <c r="AM114" s="159"/>
      <c r="AN114" s="161"/>
      <c r="AQ114" s="62" t="s">
        <v>199</v>
      </c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 t="s">
        <v>219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</row>
    <row r="115" spans="1:128" ht="30.75" customHeight="1">
      <c r="A115" s="196" t="s">
        <v>44</v>
      </c>
      <c r="B115" s="196"/>
      <c r="C115" s="196"/>
      <c r="D115" s="196"/>
      <c r="E115" s="197"/>
      <c r="F115" s="82" t="s">
        <v>197</v>
      </c>
      <c r="G115" s="90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f>VLOOKUP(завтрак6,таб,42,FALSE)</f>
        <v>0</v>
      </c>
      <c r="M115" s="28">
        <f>VLOOKUP(завтрак7,таб,42,FALSE)</f>
        <v>300</v>
      </c>
      <c r="N115" s="71">
        <f>VLOOKUP(завтрак8,таб,42,FALSE)</f>
        <v>0</v>
      </c>
      <c r="O115" s="36">
        <f>VLOOKUP(обед1,таб,42,FALSE)</f>
        <v>0</v>
      </c>
      <c r="P115" s="35">
        <f>VLOOKUP(обед2,таб,42,FALSE)</f>
        <v>0</v>
      </c>
      <c r="Q115" s="34">
        <f>VLOOKUP(обед3,таб,42,FALSE)</f>
        <v>0</v>
      </c>
      <c r="R115" s="35">
        <f>VLOOKUP(обед4,таб,42,FALSE)</f>
        <v>0</v>
      </c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f>VLOOKUP(полдник1,таб,42,FALSE)</f>
        <v>0</v>
      </c>
      <c r="X115" s="35">
        <f>VLOOKUP(полдник2,таб,42,FALSE)</f>
        <v>0</v>
      </c>
      <c r="Y115" s="79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>
        <f>VLOOKUP(ужин3,таб,42,FALSE)</f>
        <v>0</v>
      </c>
      <c r="AC115" s="34">
        <f>VLOOKUP(ужин4,таб,42,FALSE)</f>
        <v>0</v>
      </c>
      <c r="AD115" s="35">
        <f>VLOOKUP(ужин5,таб,42,FALSE)</f>
        <v>0</v>
      </c>
      <c r="AE115" s="34">
        <f>VLOOKUP(ужин6,таб,42,FALSE)</f>
        <v>0</v>
      </c>
      <c r="AF115" s="35">
        <f>VLOOKUP(ужин7,таб,42,FALSE)</f>
        <v>0</v>
      </c>
      <c r="AG115" s="79">
        <f>VLOOKUP(ужин8,таб,42,FALSE)</f>
        <v>0</v>
      </c>
      <c r="AH115" s="162">
        <v>615054</v>
      </c>
      <c r="AI115" s="173">
        <f>AK115/сред</f>
        <v>0.3</v>
      </c>
      <c r="AJ115" s="174"/>
      <c r="AK115" s="165">
        <f>SUM(G116:AG116)</f>
        <v>7.5</v>
      </c>
      <c r="AL115" s="166"/>
      <c r="AM115" s="158">
        <f>IF(AK115=0,0,CF117)</f>
        <v>16.8</v>
      </c>
      <c r="AN115" s="160">
        <f>AK115*AM115</f>
        <v>126</v>
      </c>
      <c r="AQ115" s="62" t="s">
        <v>200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219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</row>
    <row r="116" spans="1:128" ht="30.75" customHeight="1">
      <c r="A116" s="196"/>
      <c r="B116" s="196"/>
      <c r="C116" s="196"/>
      <c r="D116" s="196"/>
      <c r="E116" s="197"/>
      <c r="F116" s="83" t="s">
        <v>198</v>
      </c>
      <c r="G116" s="91">
        <f aca="true" t="shared" si="134" ref="G116:N116">IF(G115=0,"",завтракл*G115/1000)</f>
      </c>
      <c r="H116" s="47">
        <f t="shared" si="134"/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</c>
      <c r="M116" s="46">
        <f t="shared" si="134"/>
        <v>7.5</v>
      </c>
      <c r="N116" s="72">
        <f t="shared" si="134"/>
      </c>
      <c r="O116" s="48">
        <f aca="true" t="shared" si="135" ref="O116:V116">IF(O115=0,"",обідл*O115/1000)</f>
      </c>
      <c r="P116" s="46">
        <f t="shared" si="135"/>
      </c>
      <c r="Q116" s="47">
        <f t="shared" si="135"/>
      </c>
      <c r="R116" s="46">
        <f t="shared" si="135"/>
      </c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</c>
      <c r="X116" s="46">
        <f>IF(X115=0,"",полдникл*X115/1000)</f>
      </c>
      <c r="Y116" s="72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>
        <f t="shared" si="136"/>
      </c>
      <c r="AC116" s="47">
        <f t="shared" si="136"/>
      </c>
      <c r="AD116" s="46">
        <f t="shared" si="136"/>
      </c>
      <c r="AE116" s="47">
        <f t="shared" si="136"/>
      </c>
      <c r="AF116" s="46">
        <f t="shared" si="136"/>
      </c>
      <c r="AG116" s="72">
        <f t="shared" si="136"/>
      </c>
      <c r="AH116" s="163"/>
      <c r="AI116" s="173"/>
      <c r="AJ116" s="174"/>
      <c r="AK116" s="167"/>
      <c r="AL116" s="168"/>
      <c r="AM116" s="159"/>
      <c r="AN116" s="161"/>
      <c r="AQ116" s="109"/>
      <c r="AR116" s="62"/>
      <c r="AS116" s="62"/>
      <c r="AT116" s="62"/>
      <c r="AU116" s="62"/>
      <c r="AV116" s="62"/>
      <c r="AW116" s="62"/>
      <c r="AX116" s="62"/>
      <c r="AY116" s="62"/>
      <c r="AZ116" s="62"/>
      <c r="BA116" s="62"/>
      <c r="BB116" s="62"/>
      <c r="BC116" s="62"/>
      <c r="BD116" s="62"/>
      <c r="BE116" s="97"/>
      <c r="BF116" s="62"/>
      <c r="BG116" s="62"/>
      <c r="BH116" s="62"/>
      <c r="BI116" s="62"/>
      <c r="BJ116" s="62"/>
      <c r="BK116" s="62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/>
      <c r="BV116" s="62"/>
      <c r="BW116" s="62"/>
      <c r="BX116" s="62"/>
      <c r="BY116" s="62"/>
      <c r="BZ116" s="62"/>
      <c r="CA116" s="62"/>
      <c r="CB116" s="62"/>
      <c r="CC116" s="62"/>
      <c r="CD116" s="62"/>
      <c r="CE116" s="62"/>
      <c r="CF116" s="62"/>
      <c r="CG116" s="62"/>
      <c r="CH116" s="62"/>
      <c r="CI116" s="62"/>
      <c r="CJ116" s="62"/>
      <c r="CK116" s="62"/>
      <c r="CL116" s="97"/>
      <c r="CM116" s="62"/>
      <c r="CN116" s="62"/>
      <c r="CO116" s="62"/>
      <c r="CP116" s="62"/>
      <c r="CQ116" s="62"/>
      <c r="CR116" s="62"/>
      <c r="CS116" s="62"/>
      <c r="CT116" s="62"/>
      <c r="CU116" s="62"/>
      <c r="CV116" s="62"/>
      <c r="CW116" s="62"/>
      <c r="CX116" s="62"/>
      <c r="CY116" s="62"/>
      <c r="CZ116" s="62"/>
      <c r="DA116" s="62"/>
      <c r="DB116" s="62"/>
      <c r="DC116" s="62"/>
      <c r="DD116" s="62"/>
      <c r="DE116" s="62"/>
      <c r="DF116" s="62"/>
      <c r="DG116" s="62"/>
      <c r="DH116" s="62"/>
      <c r="DI116" s="62"/>
      <c r="DJ116" s="62"/>
      <c r="DK116" s="62"/>
      <c r="DL116" s="62"/>
      <c r="DM116" s="62"/>
      <c r="DN116" s="62"/>
      <c r="DO116" s="62"/>
      <c r="DP116" s="62"/>
      <c r="DQ116" s="62"/>
      <c r="DR116" s="61"/>
      <c r="DS116" s="61"/>
      <c r="DT116" s="61"/>
      <c r="DU116" s="61"/>
      <c r="DV116" s="61"/>
      <c r="DW116" s="61"/>
      <c r="DX116" s="61"/>
    </row>
    <row r="117" spans="1:129" ht="30.75" customHeight="1">
      <c r="A117" s="237" t="s">
        <v>345</v>
      </c>
      <c r="B117" s="237"/>
      <c r="C117" s="237"/>
      <c r="D117" s="237"/>
      <c r="E117" s="238"/>
      <c r="F117" s="82" t="s">
        <v>197</v>
      </c>
      <c r="G117" s="93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>
        <f>VLOOKUP(завтрак7,таб,75,FALSE)</f>
        <v>0</v>
      </c>
      <c r="N117" s="71">
        <f>VLOOKUP(завтрак8,таб,75,FALSE)</f>
        <v>0</v>
      </c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>
        <f>VLOOKUP(обед4,таб,75,FALSE)</f>
        <v>0</v>
      </c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80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>
        <f>VLOOKUP(ужин3,таб,75,FALSE)</f>
        <v>0</v>
      </c>
      <c r="AC117" s="37">
        <f>VLOOKUP(ужин4,таб,75,FALSE)</f>
        <v>0</v>
      </c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80">
        <f>VLOOKUP(ужин8,таб,75,FALSE)</f>
        <v>0</v>
      </c>
      <c r="AH117" s="162"/>
      <c r="AI117" s="173">
        <f>AK117/сред</f>
        <v>0</v>
      </c>
      <c r="AJ117" s="174"/>
      <c r="AK117" s="165">
        <f>SUM(G118:AG118)</f>
        <v>0</v>
      </c>
      <c r="AL117" s="166"/>
      <c r="AM117" s="158">
        <f>IF(AK117=0,0,DM117)</f>
        <v>0</v>
      </c>
      <c r="AN117" s="160">
        <f>AK117*AM117</f>
        <v>0</v>
      </c>
      <c r="AQ117" s="110" t="s">
        <v>220</v>
      </c>
      <c r="AR117" s="62">
        <v>115</v>
      </c>
      <c r="AS117" s="62">
        <v>117.5</v>
      </c>
      <c r="AT117" s="62">
        <v>63</v>
      </c>
      <c r="AU117" s="62">
        <v>48</v>
      </c>
      <c r="AV117" s="62">
        <v>98.2</v>
      </c>
      <c r="AW117" s="62">
        <v>54</v>
      </c>
      <c r="AX117" s="62">
        <v>57.16</v>
      </c>
      <c r="AY117" s="62">
        <v>81.22</v>
      </c>
      <c r="AZ117" s="62">
        <v>165.332</v>
      </c>
      <c r="BA117" s="62"/>
      <c r="BB117" s="62"/>
      <c r="BC117" s="62">
        <v>44</v>
      </c>
      <c r="BD117" s="62">
        <v>18.8</v>
      </c>
      <c r="BE117" s="97">
        <v>80.54</v>
      </c>
      <c r="BF117" s="62">
        <v>24.53</v>
      </c>
      <c r="BG117" s="62">
        <v>63.86</v>
      </c>
      <c r="BH117" s="62">
        <v>53.6</v>
      </c>
      <c r="BI117" s="62">
        <v>128</v>
      </c>
      <c r="BJ117" s="62">
        <v>2.7</v>
      </c>
      <c r="BK117" s="62">
        <v>33.02</v>
      </c>
      <c r="BL117" s="62">
        <v>11.4</v>
      </c>
      <c r="BM117" s="62">
        <v>75</v>
      </c>
      <c r="BN117" s="62">
        <v>36.7</v>
      </c>
      <c r="BO117" s="62">
        <v>16.1</v>
      </c>
      <c r="BP117" s="62">
        <v>11.25</v>
      </c>
      <c r="BQ117" s="62">
        <v>15.55</v>
      </c>
      <c r="BR117" s="62">
        <v>24.1</v>
      </c>
      <c r="BS117" s="62">
        <v>17</v>
      </c>
      <c r="BT117" s="62">
        <v>15</v>
      </c>
      <c r="BU117" s="62">
        <v>11.8</v>
      </c>
      <c r="BV117" s="62">
        <v>175</v>
      </c>
      <c r="BW117" s="62">
        <v>21</v>
      </c>
      <c r="BX117" s="62"/>
      <c r="BY117" s="62">
        <v>35</v>
      </c>
      <c r="BZ117" s="62">
        <v>62.7</v>
      </c>
      <c r="CA117" s="62">
        <v>58.24</v>
      </c>
      <c r="CB117" s="62">
        <v>62</v>
      </c>
      <c r="CC117" s="62">
        <v>98</v>
      </c>
      <c r="CD117" s="62">
        <v>21.7</v>
      </c>
      <c r="CE117" s="62">
        <v>120</v>
      </c>
      <c r="CF117" s="62">
        <v>16.8</v>
      </c>
      <c r="CG117" s="62">
        <v>13.1</v>
      </c>
      <c r="CH117" s="62">
        <v>4.25</v>
      </c>
      <c r="CI117" s="62">
        <v>5.9</v>
      </c>
      <c r="CJ117" s="62">
        <v>7.8</v>
      </c>
      <c r="CK117" s="62">
        <v>38</v>
      </c>
      <c r="CL117" s="97">
        <v>26.5</v>
      </c>
      <c r="CM117" s="62">
        <v>52.8</v>
      </c>
      <c r="CN117" s="62">
        <v>12</v>
      </c>
      <c r="CO117" s="62">
        <v>6.8</v>
      </c>
      <c r="CP117" s="62">
        <v>56.4</v>
      </c>
      <c r="CQ117" s="62">
        <v>13.8</v>
      </c>
      <c r="CR117" s="62">
        <v>9.33</v>
      </c>
      <c r="CS117" s="62">
        <v>142.85</v>
      </c>
      <c r="CT117" s="62">
        <v>14.8</v>
      </c>
      <c r="CU117" s="62">
        <v>230</v>
      </c>
      <c r="CV117" s="62">
        <v>150</v>
      </c>
      <c r="CW117" s="62">
        <v>288</v>
      </c>
      <c r="CX117" s="62">
        <v>452</v>
      </c>
      <c r="CY117" s="62">
        <v>10.24</v>
      </c>
      <c r="CZ117" s="62">
        <v>190</v>
      </c>
      <c r="DA117" s="62">
        <v>610</v>
      </c>
      <c r="DB117" s="62">
        <v>2300</v>
      </c>
      <c r="DC117" s="62">
        <v>86.67</v>
      </c>
      <c r="DD117" s="62">
        <v>98</v>
      </c>
      <c r="DE117" s="62"/>
      <c r="DF117" s="62">
        <v>26.5</v>
      </c>
      <c r="DG117" s="62">
        <v>68</v>
      </c>
      <c r="DH117" s="62">
        <v>46</v>
      </c>
      <c r="DI117" s="62">
        <v>39</v>
      </c>
      <c r="DJ117" s="62"/>
      <c r="DK117" s="62">
        <v>10.6</v>
      </c>
      <c r="DL117" s="62">
        <v>17</v>
      </c>
      <c r="DM117" s="62">
        <v>98</v>
      </c>
      <c r="DN117" s="62">
        <v>11.7</v>
      </c>
      <c r="DO117" s="62">
        <v>23.5</v>
      </c>
      <c r="DP117" s="62">
        <v>29.6</v>
      </c>
      <c r="DQ117" s="62">
        <v>40</v>
      </c>
      <c r="DR117" s="62">
        <v>29.6</v>
      </c>
      <c r="DS117" s="62">
        <v>40</v>
      </c>
      <c r="DT117" s="61"/>
      <c r="DU117" s="61"/>
      <c r="DV117" s="61"/>
      <c r="DW117" s="61"/>
      <c r="DX117" s="61">
        <v>45</v>
      </c>
      <c r="DY117" s="61">
        <v>6.8</v>
      </c>
    </row>
    <row r="118" spans="1:129" ht="30.75" customHeight="1">
      <c r="A118" s="239"/>
      <c r="B118" s="239"/>
      <c r="C118" s="239"/>
      <c r="D118" s="239"/>
      <c r="E118" s="240"/>
      <c r="F118" s="83" t="s">
        <v>198</v>
      </c>
      <c r="G118" s="92">
        <f aca="true" t="shared" si="137" ref="G118:N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>
        <f t="shared" si="137"/>
      </c>
      <c r="N118" s="72">
        <f t="shared" si="137"/>
      </c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>
        <f t="shared" si="138"/>
      </c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77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>
        <f t="shared" si="139"/>
      </c>
      <c r="AC118" s="49">
        <f t="shared" si="139"/>
      </c>
      <c r="AD118" s="45">
        <f t="shared" si="139"/>
      </c>
      <c r="AE118" s="49">
        <f t="shared" si="139"/>
      </c>
      <c r="AF118" s="45">
        <f t="shared" si="139"/>
      </c>
      <c r="AG118" s="77">
        <f t="shared" si="139"/>
      </c>
      <c r="AH118" s="163"/>
      <c r="AI118" s="173"/>
      <c r="AJ118" s="174"/>
      <c r="AK118" s="167"/>
      <c r="AL118" s="168"/>
      <c r="AM118" s="159"/>
      <c r="AN118" s="161"/>
      <c r="AR118" s="61" t="s">
        <v>13</v>
      </c>
      <c r="AS118" s="61" t="s">
        <v>7</v>
      </c>
      <c r="AT118" s="61" t="s">
        <v>14</v>
      </c>
      <c r="AU118" s="61" t="s">
        <v>256</v>
      </c>
      <c r="AV118" s="61" t="s">
        <v>15</v>
      </c>
      <c r="AW118" s="61" t="s">
        <v>349</v>
      </c>
      <c r="AX118" s="61" t="s">
        <v>17</v>
      </c>
      <c r="AY118" s="61" t="s">
        <v>257</v>
      </c>
      <c r="AZ118" s="61" t="s">
        <v>61</v>
      </c>
      <c r="BA118" s="61" t="s">
        <v>19</v>
      </c>
      <c r="BB118" s="61" t="s">
        <v>62</v>
      </c>
      <c r="BC118" s="61" t="s">
        <v>20</v>
      </c>
      <c r="BD118" s="61" t="s">
        <v>21</v>
      </c>
      <c r="BE118" s="61" t="s">
        <v>22</v>
      </c>
      <c r="BF118" s="61" t="s">
        <v>63</v>
      </c>
      <c r="BG118" s="61" t="s">
        <v>24</v>
      </c>
      <c r="BH118" s="61" t="s">
        <v>25</v>
      </c>
      <c r="BI118" s="61" t="s">
        <v>26</v>
      </c>
      <c r="BJ118" s="61" t="s">
        <v>27</v>
      </c>
      <c r="BK118" s="61" t="s">
        <v>358</v>
      </c>
      <c r="BL118" s="61" t="s">
        <v>134</v>
      </c>
      <c r="BM118" s="61" t="s">
        <v>28</v>
      </c>
      <c r="BN118" s="61" t="s">
        <v>29</v>
      </c>
      <c r="BO118" s="61" t="s">
        <v>30</v>
      </c>
      <c r="BP118" s="61" t="s">
        <v>34</v>
      </c>
      <c r="BQ118" s="61" t="s">
        <v>64</v>
      </c>
      <c r="BR118" s="61" t="s">
        <v>33</v>
      </c>
      <c r="BS118" s="61" t="s">
        <v>32</v>
      </c>
      <c r="BT118" s="61" t="s">
        <v>337</v>
      </c>
      <c r="BU118" s="61" t="s">
        <v>0</v>
      </c>
      <c r="BV118" s="61" t="s">
        <v>263</v>
      </c>
      <c r="BW118" s="61" t="s">
        <v>35</v>
      </c>
      <c r="BX118" s="61" t="s">
        <v>37</v>
      </c>
      <c r="BY118" s="61" t="s">
        <v>38</v>
      </c>
      <c r="BZ118" s="61" t="s">
        <v>39</v>
      </c>
      <c r="CA118" s="61" t="s">
        <v>40</v>
      </c>
      <c r="CB118" s="61" t="s">
        <v>41</v>
      </c>
      <c r="CC118" s="61" t="s">
        <v>243</v>
      </c>
      <c r="CD118" s="61" t="s">
        <v>42</v>
      </c>
      <c r="CE118" s="61" t="s">
        <v>43</v>
      </c>
      <c r="CF118" s="61" t="s">
        <v>44</v>
      </c>
      <c r="CG118" s="61" t="s">
        <v>45</v>
      </c>
      <c r="CH118" s="61" t="s">
        <v>330</v>
      </c>
      <c r="CI118" s="61" t="s">
        <v>46</v>
      </c>
      <c r="CJ118" s="61" t="s">
        <v>293</v>
      </c>
      <c r="CK118" s="61" t="s">
        <v>338</v>
      </c>
      <c r="CL118" s="61" t="s">
        <v>73</v>
      </c>
      <c r="CM118" s="61" t="s">
        <v>49</v>
      </c>
      <c r="CN118" s="61" t="s">
        <v>317</v>
      </c>
      <c r="CO118" s="61" t="s">
        <v>48</v>
      </c>
      <c r="CP118" s="61" t="s">
        <v>50</v>
      </c>
      <c r="CQ118" s="61" t="s">
        <v>221</v>
      </c>
      <c r="CR118" s="61" t="s">
        <v>222</v>
      </c>
      <c r="CS118" s="61" t="s">
        <v>348</v>
      </c>
      <c r="CT118" s="61" t="s">
        <v>344</v>
      </c>
      <c r="CU118" s="61" t="s">
        <v>321</v>
      </c>
      <c r="CV118" s="61" t="s">
        <v>54</v>
      </c>
      <c r="CW118" s="61" t="s">
        <v>53</v>
      </c>
      <c r="CX118" s="61" t="s">
        <v>2</v>
      </c>
      <c r="CY118" s="61" t="s">
        <v>55</v>
      </c>
      <c r="CZ118" s="61" t="s">
        <v>56</v>
      </c>
      <c r="DA118" s="61" t="s">
        <v>57</v>
      </c>
      <c r="DB118" s="61" t="s">
        <v>58</v>
      </c>
      <c r="DC118" s="61" t="s">
        <v>59</v>
      </c>
      <c r="DD118" s="61" t="s">
        <v>312</v>
      </c>
      <c r="DE118" s="61"/>
      <c r="DF118" s="61" t="s">
        <v>228</v>
      </c>
      <c r="DG118" s="61" t="s">
        <v>347</v>
      </c>
      <c r="DH118" s="61" t="s">
        <v>102</v>
      </c>
      <c r="DI118" s="61" t="s">
        <v>115</v>
      </c>
      <c r="DJ118" s="61" t="s">
        <v>149</v>
      </c>
      <c r="DK118" s="61" t="s">
        <v>122</v>
      </c>
      <c r="DL118" s="61" t="s">
        <v>138</v>
      </c>
      <c r="DM118" s="61" t="s">
        <v>345</v>
      </c>
      <c r="DN118" s="61" t="s">
        <v>317</v>
      </c>
      <c r="DO118" s="61" t="s">
        <v>286</v>
      </c>
      <c r="DP118" s="61" t="s">
        <v>230</v>
      </c>
      <c r="DQ118" s="61" t="s">
        <v>311</v>
      </c>
      <c r="DR118" s="61" t="s">
        <v>230</v>
      </c>
      <c r="DS118" s="61" t="s">
        <v>311</v>
      </c>
      <c r="DT118" s="61"/>
      <c r="DU118" s="61"/>
      <c r="DV118" s="61"/>
      <c r="DW118" s="61"/>
      <c r="DX118" s="61" t="s">
        <v>255</v>
      </c>
      <c r="DY118" s="61" t="s">
        <v>287</v>
      </c>
    </row>
    <row r="119" spans="1:128" ht="30.75" customHeight="1">
      <c r="A119" s="196" t="s">
        <v>292</v>
      </c>
      <c r="B119" s="196"/>
      <c r="C119" s="196"/>
      <c r="D119" s="196"/>
      <c r="E119" s="197"/>
      <c r="F119" s="82" t="s">
        <v>197</v>
      </c>
      <c r="G119" s="90">
        <f>VLOOKUP(завтрак1,таб,76,FALSE)</f>
        <v>0</v>
      </c>
      <c r="H119" s="34">
        <f>VLOOKUP(завтрак2,таб,76,FALSE)</f>
        <v>0</v>
      </c>
      <c r="I119" s="35">
        <f>VLOOKUP(завтрак3,таб,76,FALSE)</f>
        <v>0</v>
      </c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>
        <f>VLOOKUP(завтрак7,таб,76,FALSE)</f>
        <v>0</v>
      </c>
      <c r="N119" s="71">
        <f>VLOOKUP(завтрак8,таб,76,FALSE)</f>
        <v>0</v>
      </c>
      <c r="O119" s="36">
        <f>VLOOKUP(обед1,таб,76,FALSE)</f>
        <v>0</v>
      </c>
      <c r="P119" s="35">
        <f>VLOOKUP(обед2,таб,76,FALSE)</f>
        <v>0</v>
      </c>
      <c r="Q119" s="34">
        <f>VLOOKUP(обед3,таб,76,FALSE)</f>
        <v>0</v>
      </c>
      <c r="R119" s="35">
        <f>VLOOKUP(обед4,таб,76,FALSE)</f>
        <v>0</v>
      </c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79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>
        <f>VLOOKUP(ужин3,таб,76,FALSE)</f>
        <v>0</v>
      </c>
      <c r="AC119" s="34">
        <f>VLOOKUP(ужин4,таб,76,FALSE)</f>
        <v>0</v>
      </c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79">
        <f>VLOOKUP(ужин8,таб,76,FALSE)</f>
        <v>0</v>
      </c>
      <c r="AH119" s="162"/>
      <c r="AI119" s="173">
        <f>AK119/сред</f>
        <v>0</v>
      </c>
      <c r="AJ119" s="174"/>
      <c r="AK119" s="165">
        <f>SUM(G120:AG120)</f>
        <v>0</v>
      </c>
      <c r="AL119" s="166"/>
      <c r="AM119" s="158">
        <f>IF(AK119=0,0,DN117)</f>
        <v>0</v>
      </c>
      <c r="AN119" s="160"/>
      <c r="AQ119" s="61" t="s">
        <v>215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1">
        <v>0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/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</row>
    <row r="120" spans="1:128" ht="30.75" customHeight="1">
      <c r="A120" s="196"/>
      <c r="B120" s="196"/>
      <c r="C120" s="196"/>
      <c r="D120" s="196"/>
      <c r="E120" s="197"/>
      <c r="F120" s="83" t="s">
        <v>198</v>
      </c>
      <c r="G120" s="91">
        <f aca="true" t="shared" si="140" ref="G120:N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</c>
      <c r="N120" s="72">
        <f t="shared" si="140"/>
      </c>
      <c r="O120" s="48">
        <f aca="true" t="shared" si="141" ref="O120:V120">IF(O119=0,"",обідл*O119/1000)</f>
      </c>
      <c r="P120" s="46">
        <f t="shared" si="141"/>
      </c>
      <c r="Q120" s="47">
        <f t="shared" si="141"/>
      </c>
      <c r="R120" s="46">
        <f t="shared" si="141"/>
      </c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72">
        <f>IF(Y119=0,"",полдникл*Y119/1000)</f>
      </c>
      <c r="Z120" s="48">
        <f aca="true" t="shared" si="142" ref="Z120:AG120">IF(Z119=0,"",ужинл*Z119/1000)</f>
      </c>
      <c r="AA120" s="47">
        <f t="shared" si="142"/>
      </c>
      <c r="AB120" s="46">
        <f t="shared" si="142"/>
      </c>
      <c r="AC120" s="47">
        <f t="shared" si="142"/>
      </c>
      <c r="AD120" s="46">
        <f t="shared" si="142"/>
      </c>
      <c r="AE120" s="47">
        <f t="shared" si="142"/>
      </c>
      <c r="AF120" s="46">
        <f t="shared" si="142"/>
      </c>
      <c r="AG120" s="72">
        <f t="shared" si="142"/>
      </c>
      <c r="AH120" s="163"/>
      <c r="AI120" s="173"/>
      <c r="AJ120" s="174"/>
      <c r="AK120" s="167"/>
      <c r="AL120" s="168"/>
      <c r="AM120" s="159"/>
      <c r="AN120" s="161"/>
      <c r="AQ120" s="61" t="s">
        <v>216</v>
      </c>
      <c r="AR120" s="61"/>
      <c r="AS120" s="61"/>
      <c r="AT120" s="61"/>
      <c r="AU120" s="61"/>
      <c r="AV120" s="61"/>
      <c r="AW120" s="61"/>
      <c r="AX120" s="61"/>
      <c r="AY120" s="61"/>
      <c r="AZ120" s="61">
        <v>10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200</v>
      </c>
      <c r="DF120" s="61"/>
      <c r="DG120" s="61"/>
      <c r="DH120" s="61"/>
      <c r="DI120" s="61"/>
      <c r="DJ120" s="61"/>
      <c r="DK120" s="61"/>
      <c r="DL120" s="61">
        <v>70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</row>
    <row r="121" spans="1:128" ht="30.75" customHeight="1">
      <c r="A121" s="237" t="s">
        <v>286</v>
      </c>
      <c r="B121" s="237"/>
      <c r="C121" s="237"/>
      <c r="D121" s="237"/>
      <c r="E121" s="238"/>
      <c r="F121" s="82" t="s">
        <v>197</v>
      </c>
      <c r="G121" s="93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>
        <f>VLOOKUP(завтрак7,таб,77,FALSE)</f>
        <v>0</v>
      </c>
      <c r="N121" s="71">
        <f>VLOOKUP(завтрак8,таб,77,FALSE)</f>
        <v>0</v>
      </c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>
        <f>VLOOKUP(обед4,таб,77,FALSE)</f>
        <v>0</v>
      </c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80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>
        <f>VLOOKUP(ужин3,таб,77,FALSE)</f>
        <v>0</v>
      </c>
      <c r="AC121" s="37">
        <f>VLOOKUP(ужин4,таб,77,FALSE)</f>
        <v>0</v>
      </c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80">
        <f>VLOOKUP(ужин8,таб,77,FALSE)</f>
        <v>0</v>
      </c>
      <c r="AH121" s="162"/>
      <c r="AI121" s="173">
        <f>AK121/сред</f>
        <v>0</v>
      </c>
      <c r="AJ121" s="174"/>
      <c r="AK121" s="165">
        <f>SUM(G122:AG122)</f>
        <v>0</v>
      </c>
      <c r="AL121" s="166"/>
      <c r="AM121" s="158">
        <f>IF(AK121=0,0,DO117)</f>
        <v>0</v>
      </c>
      <c r="AN121" s="160">
        <f>AK121*AM121</f>
        <v>0</v>
      </c>
      <c r="AQ121" s="62" t="s">
        <v>217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</row>
    <row r="122" spans="1:109" ht="30.75" customHeight="1">
      <c r="A122" s="239"/>
      <c r="B122" s="239"/>
      <c r="C122" s="239"/>
      <c r="D122" s="239"/>
      <c r="E122" s="240"/>
      <c r="F122" s="83" t="s">
        <v>198</v>
      </c>
      <c r="G122" s="92">
        <f aca="true" t="shared" si="143" ref="G122:N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>
        <f t="shared" si="143"/>
      </c>
      <c r="N122" s="72">
        <f t="shared" si="143"/>
      </c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>
        <f t="shared" si="144"/>
      </c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77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>
        <f t="shared" si="145"/>
      </c>
      <c r="AC122" s="49">
        <f t="shared" si="145"/>
      </c>
      <c r="AD122" s="45">
        <f t="shared" si="145"/>
      </c>
      <c r="AE122" s="49">
        <f t="shared" si="145"/>
      </c>
      <c r="AF122" s="45">
        <f t="shared" si="145"/>
      </c>
      <c r="AG122" s="77">
        <f t="shared" si="145"/>
      </c>
      <c r="AH122" s="163"/>
      <c r="AI122" s="173"/>
      <c r="AJ122" s="174"/>
      <c r="AK122" s="167"/>
      <c r="AL122" s="168"/>
      <c r="AM122" s="159"/>
      <c r="AN122" s="161"/>
      <c r="AQ122" s="61" t="s">
        <v>218</v>
      </c>
      <c r="CE122" s="96">
        <v>25</v>
      </c>
      <c r="DE122" s="61">
        <v>25</v>
      </c>
    </row>
    <row r="123" spans="1:43" ht="30.75" customHeight="1">
      <c r="A123" s="196" t="s">
        <v>255</v>
      </c>
      <c r="B123" s="196"/>
      <c r="C123" s="196"/>
      <c r="D123" s="196"/>
      <c r="E123" s="197"/>
      <c r="F123" s="82" t="s">
        <v>197</v>
      </c>
      <c r="G123" s="90">
        <f>VLOOKUP(завтрак1,таб,86,FALSE)</f>
        <v>0</v>
      </c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>
        <f>VLOOKUP(завтрак7,таб,86,FALSE)</f>
        <v>0</v>
      </c>
      <c r="N123" s="71">
        <f>VLOOKUP(завтрак8,таб,86,FALSE)</f>
        <v>0</v>
      </c>
      <c r="O123" s="36">
        <f>VLOOKUP(обед1,таб,86,FALSE)</f>
        <v>0</v>
      </c>
      <c r="P123" s="35">
        <f>VLOOKUP(обед2,таб,86,FALSE)</f>
        <v>0</v>
      </c>
      <c r="Q123" s="34">
        <f>VLOOKUP(обед3,таб,86,FALSE)</f>
        <v>0</v>
      </c>
      <c r="R123" s="35">
        <f>VLOOKUP(обед4,таб,86,FALSE)</f>
        <v>0</v>
      </c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79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>
        <f>VLOOKUP(ужин3,таб,86,FALSE)</f>
        <v>0</v>
      </c>
      <c r="AC123" s="34">
        <f>VLOOKUP(ужин4,таб,86,FALSE)</f>
        <v>0</v>
      </c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79">
        <f>VLOOKUP(ужин8,таб,86,FALSE)</f>
        <v>0</v>
      </c>
      <c r="AH123" s="162"/>
      <c r="AI123" s="173">
        <f>AK123/сред</f>
        <v>0</v>
      </c>
      <c r="AJ123" s="174"/>
      <c r="AK123" s="165">
        <f>SUM(G124:AG124)</f>
        <v>0</v>
      </c>
      <c r="AL123" s="166"/>
      <c r="AM123" s="158">
        <f>IF(AK123=0,0,DP117)</f>
        <v>0</v>
      </c>
      <c r="AN123" s="160">
        <f>AK123*AM123</f>
        <v>0</v>
      </c>
      <c r="AQ123" s="61">
        <v>0</v>
      </c>
    </row>
    <row r="124" spans="1:109" ht="30.75" customHeight="1">
      <c r="A124" s="196"/>
      <c r="B124" s="196"/>
      <c r="C124" s="196"/>
      <c r="D124" s="196"/>
      <c r="E124" s="197"/>
      <c r="F124" s="83" t="s">
        <v>198</v>
      </c>
      <c r="G124" s="91">
        <f aca="true" t="shared" si="146" ref="G124:N124">IF(G123=0,"",завтракл*G123/1000)</f>
      </c>
      <c r="H124" s="47">
        <f t="shared" si="146"/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>
        <f t="shared" si="146"/>
      </c>
      <c r="N124" s="72">
        <f t="shared" si="146"/>
      </c>
      <c r="O124" s="48">
        <f aca="true" t="shared" si="147" ref="O124:V124">IF(O123=0,"",обідл*O123/1000)</f>
      </c>
      <c r="P124" s="46">
        <f t="shared" si="147"/>
      </c>
      <c r="Q124" s="47">
        <f t="shared" si="147"/>
      </c>
      <c r="R124" s="46">
        <f t="shared" si="147"/>
      </c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72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>
        <f t="shared" si="148"/>
      </c>
      <c r="AC124" s="47">
        <f t="shared" si="148"/>
      </c>
      <c r="AD124" s="46">
        <f t="shared" si="148"/>
      </c>
      <c r="AE124" s="47">
        <f t="shared" si="148"/>
      </c>
      <c r="AF124" s="46">
        <f t="shared" si="148"/>
      </c>
      <c r="AG124" s="72">
        <f t="shared" si="148"/>
      </c>
      <c r="AH124" s="163"/>
      <c r="AI124" s="173"/>
      <c r="AJ124" s="174"/>
      <c r="AK124" s="167"/>
      <c r="AL124" s="168"/>
      <c r="AM124" s="159"/>
      <c r="AN124" s="161"/>
      <c r="AQ124" s="61" t="s">
        <v>223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300</v>
      </c>
    </row>
    <row r="125" spans="1:109" ht="30.75" customHeight="1">
      <c r="A125" s="237" t="s">
        <v>45</v>
      </c>
      <c r="B125" s="237"/>
      <c r="C125" s="237"/>
      <c r="D125" s="237"/>
      <c r="E125" s="238"/>
      <c r="F125" s="82" t="s">
        <v>197</v>
      </c>
      <c r="G125" s="93">
        <f>VLOOKUP(завтрак1,таб,43,FALSE)</f>
        <v>0</v>
      </c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>
        <f>VLOOKUP(завтрак7,таб,43,FALSE)</f>
        <v>0</v>
      </c>
      <c r="N125" s="71">
        <f>VLOOKUP(завтрак8,таб,43,FALSE)</f>
        <v>0</v>
      </c>
      <c r="O125" s="39">
        <f>VLOOKUP(обед1,таб,43,FALSE)</f>
        <v>76</v>
      </c>
      <c r="P125" s="38">
        <f>VLOOKUP(обед2,таб,43,FALSE)</f>
        <v>228</v>
      </c>
      <c r="Q125" s="37">
        <f>VLOOKUP(обед3,таб,43,FALSE)</f>
        <v>0</v>
      </c>
      <c r="R125" s="38">
        <f>VLOOKUP(обед4,таб,43,FALSE)</f>
        <v>0</v>
      </c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80">
        <f>VLOOKUP(полдник3,таб,43,FALSE)</f>
        <v>0</v>
      </c>
      <c r="Z125" s="39">
        <f>VLOOKUP(ужин1,таб,43,FALSE)</f>
        <v>240</v>
      </c>
      <c r="AA125" s="37">
        <f>VLOOKUP(ужин2,таб,43,FALSE)</f>
        <v>0</v>
      </c>
      <c r="AB125" s="38">
        <f>VLOOKUP(ужин3,таб,43,FALSE)</f>
        <v>0</v>
      </c>
      <c r="AC125" s="37">
        <f>VLOOKUP(ужин4,таб,43,FALSE)</f>
        <v>0</v>
      </c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80">
        <f>VLOOKUP(ужин8,таб,43,FALSE)</f>
        <v>0</v>
      </c>
      <c r="AH125" s="162">
        <v>615078</v>
      </c>
      <c r="AI125" s="173">
        <f>AK125/сред</f>
        <v>0.544</v>
      </c>
      <c r="AJ125" s="174"/>
      <c r="AK125" s="165">
        <f>SUM(G126:AG126)</f>
        <v>13.6</v>
      </c>
      <c r="AL125" s="166"/>
      <c r="AM125" s="158">
        <f>IF(AK125=0,0,CG117)</f>
        <v>13.1</v>
      </c>
      <c r="AN125" s="160">
        <f>AK125*AM125</f>
        <v>178.16</v>
      </c>
      <c r="AQ125" s="61" t="s">
        <v>224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25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25</v>
      </c>
    </row>
    <row r="126" spans="1:109" ht="30.75" customHeight="1">
      <c r="A126" s="239"/>
      <c r="B126" s="239"/>
      <c r="C126" s="239"/>
      <c r="D126" s="239"/>
      <c r="E126" s="240"/>
      <c r="F126" s="83" t="s">
        <v>198</v>
      </c>
      <c r="G126" s="92">
        <f aca="true" t="shared" si="149" ref="G126:N126">IF(G125=0,"",завтракл*G125/1000)</f>
      </c>
      <c r="H126" s="49">
        <f t="shared" si="149"/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>
        <f t="shared" si="149"/>
      </c>
      <c r="N126" s="72">
        <f t="shared" si="149"/>
      </c>
      <c r="O126" s="50">
        <f aca="true" t="shared" si="150" ref="O126:V126">IF(O125=0,"",обідл*O125/1000)</f>
        <v>1.9</v>
      </c>
      <c r="P126" s="45">
        <f t="shared" si="150"/>
        <v>5.7</v>
      </c>
      <c r="Q126" s="49">
        <f t="shared" si="150"/>
      </c>
      <c r="R126" s="45">
        <f t="shared" si="150"/>
      </c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77">
        <f>IF(Y125=0,"",полдникл*Y125/1000)</f>
      </c>
      <c r="Z126" s="50">
        <f aca="true" t="shared" si="151" ref="Z126:AG126">IF(Z125=0,"",ужинл*Z125/1000)</f>
        <v>6</v>
      </c>
      <c r="AA126" s="49">
        <f>IF(AA125=0,"",ужинл*AA125/1000)</f>
      </c>
      <c r="AB126" s="45">
        <f t="shared" si="151"/>
      </c>
      <c r="AC126" s="49">
        <f t="shared" si="151"/>
      </c>
      <c r="AD126" s="45">
        <f t="shared" si="151"/>
      </c>
      <c r="AE126" s="49">
        <f t="shared" si="151"/>
      </c>
      <c r="AF126" s="45">
        <f t="shared" si="151"/>
      </c>
      <c r="AG126" s="77">
        <f t="shared" si="151"/>
      </c>
      <c r="AH126" s="163"/>
      <c r="AI126" s="173"/>
      <c r="AJ126" s="174"/>
      <c r="AK126" s="167"/>
      <c r="AL126" s="168"/>
      <c r="AM126" s="159"/>
      <c r="AN126" s="161"/>
      <c r="AQ126" s="61" t="s">
        <v>225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25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294</v>
      </c>
    </row>
    <row r="127" spans="1:109" ht="30.75" customHeight="1">
      <c r="A127" s="196" t="s">
        <v>330</v>
      </c>
      <c r="B127" s="196"/>
      <c r="C127" s="196"/>
      <c r="D127" s="196"/>
      <c r="E127" s="197"/>
      <c r="F127" s="82" t="s">
        <v>197</v>
      </c>
      <c r="G127" s="90">
        <f>VLOOKUP(завтрак1,таб,44,FALSE)</f>
        <v>0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>
        <f>VLOOKUP(завтрак7,таб,44,FALSE)</f>
        <v>0</v>
      </c>
      <c r="N127" s="71">
        <f>VLOOKUP(завтрак8,таб,44,FALSE)</f>
        <v>0</v>
      </c>
      <c r="O127" s="36">
        <f>VLOOKUP(обед1,таб,44,FALSE)</f>
        <v>35</v>
      </c>
      <c r="P127" s="35">
        <f>VLOOKUP(обед2,таб,44,FALSE)</f>
        <v>0</v>
      </c>
      <c r="Q127" s="34">
        <f>VLOOKUP(обед3,таб,44,FALSE)</f>
        <v>0</v>
      </c>
      <c r="R127" s="35">
        <f>VLOOKUP(обед4,таб,44,FALSE)</f>
        <v>0</v>
      </c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79">
        <f>VLOOKUP(полдник3,таб,44,FALSE)</f>
        <v>0</v>
      </c>
      <c r="Z127" s="36">
        <f>VLOOKUP(ужин1,таб,44,FALSE)</f>
        <v>0</v>
      </c>
      <c r="AA127" s="34">
        <f>VLOOKUP(ужин2,таб,44,FALSE)</f>
        <v>0</v>
      </c>
      <c r="AB127" s="35">
        <f>VLOOKUP(ужин3,таб,44,FALSE)</f>
        <v>0</v>
      </c>
      <c r="AC127" s="34">
        <f>VLOOKUP(ужин4,таб,44,FALSE)</f>
        <v>0</v>
      </c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79">
        <f>VLOOKUP(ужин8,таб,44,FALSE)</f>
        <v>0</v>
      </c>
      <c r="AH127" s="162">
        <v>615079</v>
      </c>
      <c r="AI127" s="173">
        <f>AK127/сред</f>
        <v>0.035</v>
      </c>
      <c r="AJ127" s="174"/>
      <c r="AK127" s="165">
        <f>SUM(G128:AG128)</f>
        <v>0.875</v>
      </c>
      <c r="AL127" s="166"/>
      <c r="AM127" s="158">
        <f>IF(AK127=0,0,CH117)</f>
        <v>4.25</v>
      </c>
      <c r="AN127" s="160">
        <f>AK127*AM127</f>
        <v>3.71875</v>
      </c>
      <c r="AQ127" s="61" t="s">
        <v>226</v>
      </c>
      <c r="AR127" s="61"/>
      <c r="AS127" s="61"/>
      <c r="AT127" s="61"/>
      <c r="AU127" s="61"/>
      <c r="AV127" s="61"/>
      <c r="AW127" s="61"/>
      <c r="AX127" s="61"/>
      <c r="AY127" s="61"/>
      <c r="AZ127" s="61">
        <v>3</v>
      </c>
      <c r="BA127" s="61"/>
      <c r="BB127" s="61"/>
      <c r="BC127" s="61">
        <v>4</v>
      </c>
      <c r="BD127" s="61">
        <v>28</v>
      </c>
      <c r="BE127" s="61"/>
      <c r="BF127" s="61"/>
      <c r="BG127" s="61"/>
      <c r="BH127" s="61"/>
      <c r="BI127" s="61"/>
      <c r="BJ127" s="61"/>
      <c r="BK127" s="61"/>
      <c r="BL127" s="61">
        <v>80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15</v>
      </c>
      <c r="BX127" s="61"/>
      <c r="BY127" s="61">
        <v>25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150</v>
      </c>
    </row>
    <row r="128" spans="1:110" ht="30.75" customHeight="1">
      <c r="A128" s="196"/>
      <c r="B128" s="196"/>
      <c r="C128" s="196"/>
      <c r="D128" s="196"/>
      <c r="E128" s="197"/>
      <c r="F128" s="83" t="s">
        <v>198</v>
      </c>
      <c r="G128" s="91">
        <f aca="true" t="shared" si="152" ref="G128:N128">IF(G127=0,"",завтракл*G127/1000)</f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>
        <f t="shared" si="152"/>
      </c>
      <c r="N128" s="72">
        <f t="shared" si="152"/>
      </c>
      <c r="O128" s="48">
        <f aca="true" t="shared" si="153" ref="O128:V128">IF(O127=0,"",обідл*O127/1000)</f>
        <v>0.875</v>
      </c>
      <c r="P128" s="46">
        <f t="shared" si="153"/>
      </c>
      <c r="Q128" s="47">
        <f t="shared" si="153"/>
      </c>
      <c r="R128" s="46">
        <f t="shared" si="153"/>
      </c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72">
        <f>IF(Y127=0,"",полдникл*Y127/1000)</f>
      </c>
      <c r="Z128" s="48">
        <f aca="true" t="shared" si="154" ref="Z128:AG128">IF(Z127=0,"",ужинл*Z127/1000)</f>
      </c>
      <c r="AA128" s="47">
        <f t="shared" si="154"/>
      </c>
      <c r="AB128" s="46">
        <f t="shared" si="154"/>
      </c>
      <c r="AC128" s="47">
        <f t="shared" si="154"/>
      </c>
      <c r="AD128" s="46">
        <f t="shared" si="154"/>
      </c>
      <c r="AE128" s="47">
        <f t="shared" si="154"/>
      </c>
      <c r="AF128" s="46">
        <f t="shared" si="154"/>
      </c>
      <c r="AG128" s="72">
        <f t="shared" si="154"/>
      </c>
      <c r="AH128" s="163"/>
      <c r="AI128" s="173"/>
      <c r="AJ128" s="174"/>
      <c r="AK128" s="167"/>
      <c r="AL128" s="168"/>
      <c r="AM128" s="159"/>
      <c r="AN128" s="161"/>
      <c r="AQ128" s="61" t="s">
        <v>227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</row>
    <row r="129" spans="1:122" ht="30.75" customHeight="1">
      <c r="A129" s="237" t="s">
        <v>46</v>
      </c>
      <c r="B129" s="237"/>
      <c r="C129" s="237"/>
      <c r="D129" s="237"/>
      <c r="E129" s="238"/>
      <c r="F129" s="82" t="s">
        <v>197</v>
      </c>
      <c r="G129" s="93">
        <f>VLOOKUP(завтрак1,таб,45,FALSE)</f>
        <v>0</v>
      </c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>
        <f>VLOOKUP(завтрак7,таб,45,FALSE)</f>
        <v>0</v>
      </c>
      <c r="N129" s="71">
        <f>VLOOKUP(завтрак8,таб,45,FALSE)</f>
        <v>0</v>
      </c>
      <c r="O129" s="39">
        <f>VLOOKUP(обед1,таб,45,FALSE)</f>
        <v>13</v>
      </c>
      <c r="P129" s="38">
        <f>VLOOKUP(обед2,таб,45,FALSE)</f>
        <v>21</v>
      </c>
      <c r="Q129" s="37">
        <f>VLOOKUP(обед3,таб,45,FALSE)</f>
        <v>0</v>
      </c>
      <c r="R129" s="38">
        <f>VLOOKUP(обед4,таб,45,FALSE)</f>
        <v>0</v>
      </c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80">
        <f>VLOOKUP(полдник3,таб,45,FALSE)</f>
        <v>0</v>
      </c>
      <c r="Z129" s="39">
        <f>VLOOKUP(ужин1,таб,45,FALSE)</f>
        <v>0</v>
      </c>
      <c r="AA129" s="37">
        <f>VLOOKUP(ужин2,таб,45,FALSE)</f>
        <v>15</v>
      </c>
      <c r="AB129" s="38">
        <f>VLOOKUP(ужин3,таб,45,FALSE)</f>
        <v>36</v>
      </c>
      <c r="AC129" s="37">
        <f>VLOOKUP(ужин4,таб,45,FALSE)</f>
        <v>0</v>
      </c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80">
        <f>VLOOKUP(ужин8,таб,45,FALSE)</f>
        <v>0</v>
      </c>
      <c r="AH129" s="162">
        <v>616062</v>
      </c>
      <c r="AI129" s="173">
        <f>AK129/сред</f>
        <v>0.085</v>
      </c>
      <c r="AJ129" s="174"/>
      <c r="AK129" s="165">
        <f>SUM(G130:AG130)</f>
        <v>2.125</v>
      </c>
      <c r="AL129" s="166"/>
      <c r="AM129" s="158">
        <f>IF(AK129=0,0,CI117)</f>
        <v>5.9</v>
      </c>
      <c r="AN129" s="160">
        <f>AK129*AM129</f>
        <v>12.537500000000001</v>
      </c>
      <c r="AQ129" s="61" t="s">
        <v>229</v>
      </c>
      <c r="AR129" s="61"/>
      <c r="AS129" s="61"/>
      <c r="AT129" s="98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</row>
    <row r="130" spans="1:109" ht="30.75" customHeight="1">
      <c r="A130" s="239"/>
      <c r="B130" s="239"/>
      <c r="C130" s="239"/>
      <c r="D130" s="239"/>
      <c r="E130" s="240"/>
      <c r="F130" s="83" t="s">
        <v>198</v>
      </c>
      <c r="G130" s="92">
        <f aca="true" t="shared" si="155" ref="G130:N130">IF(G129=0,"",завтракл*G129/1000)</f>
      </c>
      <c r="H130" s="49">
        <f t="shared" si="155"/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>
        <f t="shared" si="155"/>
      </c>
      <c r="N130" s="72">
        <f t="shared" si="155"/>
      </c>
      <c r="O130" s="50">
        <f aca="true" t="shared" si="156" ref="O130:V130">IF(O129=0,"",обідл*O129/1000)</f>
        <v>0.325</v>
      </c>
      <c r="P130" s="45">
        <f t="shared" si="156"/>
        <v>0.525</v>
      </c>
      <c r="Q130" s="49">
        <f t="shared" si="156"/>
      </c>
      <c r="R130" s="45">
        <f t="shared" si="156"/>
      </c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77">
        <f>IF(Y129=0,"",полдникл*Y129/1000)</f>
      </c>
      <c r="Z130" s="50">
        <f aca="true" t="shared" si="157" ref="Z130:AG130">IF(Z129=0,"",ужинл*Z129/1000)</f>
      </c>
      <c r="AA130" s="49">
        <f t="shared" si="157"/>
        <v>0.375</v>
      </c>
      <c r="AB130" s="45">
        <f t="shared" si="157"/>
        <v>0.9</v>
      </c>
      <c r="AC130" s="49">
        <f t="shared" si="157"/>
      </c>
      <c r="AD130" s="45">
        <f t="shared" si="157"/>
      </c>
      <c r="AE130" s="49">
        <f t="shared" si="157"/>
      </c>
      <c r="AF130" s="45">
        <f t="shared" si="157"/>
      </c>
      <c r="AG130" s="77">
        <f t="shared" si="157"/>
      </c>
      <c r="AH130" s="163"/>
      <c r="AI130" s="173"/>
      <c r="AJ130" s="174"/>
      <c r="AK130" s="167"/>
      <c r="AL130" s="168"/>
      <c r="AM130" s="159"/>
      <c r="AN130" s="161"/>
      <c r="AQ130" s="61" t="s">
        <v>231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8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36</v>
      </c>
      <c r="CH130" s="61"/>
      <c r="CI130" s="61">
        <v>19</v>
      </c>
      <c r="CJ130" s="61">
        <v>16</v>
      </c>
      <c r="CK130" s="61"/>
      <c r="CL130" s="61">
        <v>25</v>
      </c>
      <c r="CM130" s="61"/>
      <c r="CN130" s="61"/>
      <c r="CO130" s="61">
        <v>23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100</v>
      </c>
    </row>
    <row r="131" spans="1:109" ht="30.75" customHeight="1">
      <c r="A131" s="196" t="s">
        <v>47</v>
      </c>
      <c r="B131" s="196"/>
      <c r="C131" s="196"/>
      <c r="D131" s="196"/>
      <c r="E131" s="197"/>
      <c r="F131" s="82" t="s">
        <v>197</v>
      </c>
      <c r="G131" s="90">
        <f>VLOOKUP(завтрак1,таб,46,FALSE)</f>
        <v>0</v>
      </c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>
        <f>VLOOKUP(завтрак7,таб,46,FALSE)</f>
        <v>0</v>
      </c>
      <c r="N131" s="71">
        <f>VLOOKUP(завтрак8,таб,46,FALSE)</f>
        <v>0</v>
      </c>
      <c r="O131" s="36">
        <f>VLOOKUP(обед1,таб,46,FALSE)</f>
        <v>17.5</v>
      </c>
      <c r="P131" s="35">
        <f>VLOOKUP(обед2,таб,46,FALSE)</f>
        <v>0</v>
      </c>
      <c r="Q131" s="34">
        <f>VLOOKUP(обед3,таб,46,FALSE)</f>
        <v>0</v>
      </c>
      <c r="R131" s="35">
        <f>VLOOKUP(обед4,таб,46,FALSE)</f>
        <v>0</v>
      </c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79">
        <f>VLOOKUP(полдник3,таб,46,FALSE)</f>
        <v>0</v>
      </c>
      <c r="Z131" s="36">
        <f>VLOOKUP(ужин1,таб,46,FALSE)</f>
        <v>0</v>
      </c>
      <c r="AA131" s="34">
        <f>VLOOKUP(ужин2,таб,46,FALSE)</f>
        <v>34</v>
      </c>
      <c r="AB131" s="35">
        <f>VLOOKUP(ужин3,таб,46,FALSE)</f>
        <v>0</v>
      </c>
      <c r="AC131" s="34">
        <f>VLOOKUP(ужин4,таб,46,FALSE)</f>
        <v>0</v>
      </c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79">
        <f>VLOOKUP(ужин8,таб,46,FALSE)</f>
        <v>0</v>
      </c>
      <c r="AH131" s="162">
        <v>615084</v>
      </c>
      <c r="AI131" s="173">
        <f>AK131/сред</f>
        <v>0.051500000000000004</v>
      </c>
      <c r="AJ131" s="174"/>
      <c r="AK131" s="165">
        <f>SUM(G132:AG132)</f>
        <v>1.2875</v>
      </c>
      <c r="AL131" s="166"/>
      <c r="AM131" s="158">
        <f>IF(AK131=0,0,CJ117)</f>
        <v>7.8</v>
      </c>
      <c r="AN131" s="160">
        <f>AK131*AM131</f>
        <v>10.0425</v>
      </c>
      <c r="AQ131" s="61" t="s">
        <v>232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25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</row>
    <row r="132" spans="1:109" ht="30.75" customHeight="1">
      <c r="A132" s="196"/>
      <c r="B132" s="196"/>
      <c r="C132" s="196"/>
      <c r="D132" s="196"/>
      <c r="E132" s="197"/>
      <c r="F132" s="83" t="s">
        <v>198</v>
      </c>
      <c r="G132" s="91">
        <f aca="true" t="shared" si="158" ref="G132:N132">IF(G131=0,"",завтракл*G131/1000)</f>
      </c>
      <c r="H132" s="47">
        <f t="shared" si="158"/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>
        <f t="shared" si="158"/>
      </c>
      <c r="N132" s="72">
        <f t="shared" si="158"/>
      </c>
      <c r="O132" s="48">
        <f aca="true" t="shared" si="159" ref="O132:V132">IF(O131=0,"",обідл*O131/1000)</f>
        <v>0.4375</v>
      </c>
      <c r="P132" s="46">
        <f t="shared" si="159"/>
      </c>
      <c r="Q132" s="47">
        <f t="shared" si="159"/>
      </c>
      <c r="R132" s="46">
        <f t="shared" si="159"/>
      </c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72">
        <f>IF(Y131=0,"",полдникл*Y131/1000)</f>
      </c>
      <c r="Z132" s="48">
        <f aca="true" t="shared" si="160" ref="Z132:AG132">IF(Z131=0,"",ужинл*Z131/1000)</f>
      </c>
      <c r="AA132" s="47">
        <f t="shared" si="160"/>
        <v>0.85</v>
      </c>
      <c r="AB132" s="46">
        <f t="shared" si="160"/>
      </c>
      <c r="AC132" s="47">
        <f t="shared" si="160"/>
      </c>
      <c r="AD132" s="46">
        <f t="shared" si="160"/>
      </c>
      <c r="AE132" s="47">
        <f t="shared" si="160"/>
      </c>
      <c r="AF132" s="46">
        <f t="shared" si="160"/>
      </c>
      <c r="AG132" s="72">
        <f t="shared" si="160"/>
      </c>
      <c r="AH132" s="163"/>
      <c r="AI132" s="173"/>
      <c r="AJ132" s="174"/>
      <c r="AK132" s="167"/>
      <c r="AL132" s="168"/>
      <c r="AM132" s="159"/>
      <c r="AN132" s="161"/>
      <c r="AQ132" s="61" t="s">
        <v>233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</row>
    <row r="133" spans="1:109" ht="30.75" customHeight="1">
      <c r="A133" s="237" t="s">
        <v>332</v>
      </c>
      <c r="B133" s="237"/>
      <c r="C133" s="237"/>
      <c r="D133" s="237"/>
      <c r="E133" s="238"/>
      <c r="F133" s="82" t="s">
        <v>197</v>
      </c>
      <c r="G133" s="93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>
        <f>VLOOKUP(завтрак7,таб,47,FALSE)</f>
        <v>0</v>
      </c>
      <c r="N133" s="71">
        <f>VLOOKUP(завтрак8,таб,47,FALSE)</f>
        <v>0</v>
      </c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0</v>
      </c>
      <c r="R133" s="38">
        <f>VLOOKUP(обед4,таб,47,FALSE)</f>
        <v>0</v>
      </c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80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>
        <f>VLOOKUP(ужин3,таб,47,FALSE)</f>
        <v>0</v>
      </c>
      <c r="AC133" s="37">
        <f>VLOOKUP(ужин4,таб,47,FALSE)</f>
        <v>0</v>
      </c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80">
        <f>VLOOKUP(ужин8,таб,47,FALSE)</f>
        <v>0</v>
      </c>
      <c r="AH133" s="162">
        <v>615088</v>
      </c>
      <c r="AI133" s="173">
        <f>AK133/сред</f>
        <v>0</v>
      </c>
      <c r="AJ133" s="174"/>
      <c r="AK133" s="165">
        <f>SUM(G134:AG134)</f>
        <v>0</v>
      </c>
      <c r="AL133" s="166"/>
      <c r="AM133" s="158">
        <f>IF(AK133=0,0,CK117)</f>
        <v>0</v>
      </c>
      <c r="AN133" s="160">
        <f>AK133*AM133</f>
        <v>0</v>
      </c>
      <c r="AQ133" s="61" t="s">
        <v>234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</row>
    <row r="134" spans="1:109" ht="30.75" customHeight="1">
      <c r="A134" s="239"/>
      <c r="B134" s="239"/>
      <c r="C134" s="239"/>
      <c r="D134" s="239"/>
      <c r="E134" s="240"/>
      <c r="F134" s="83" t="s">
        <v>198</v>
      </c>
      <c r="G134" s="92">
        <f aca="true" t="shared" si="161" ref="G134:N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>
        <f t="shared" si="161"/>
      </c>
      <c r="N134" s="72">
        <f t="shared" si="161"/>
      </c>
      <c r="O134" s="50">
        <f aca="true" t="shared" si="162" ref="O134:V134">IF(O133=0,"",обідл*O133/1000)</f>
      </c>
      <c r="P134" s="45">
        <f t="shared" si="162"/>
      </c>
      <c r="Q134" s="49">
        <f t="shared" si="162"/>
      </c>
      <c r="R134" s="45">
        <f t="shared" si="162"/>
      </c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77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>
        <f t="shared" si="163"/>
      </c>
      <c r="AC134" s="49">
        <f t="shared" si="163"/>
      </c>
      <c r="AD134" s="45">
        <f t="shared" si="163"/>
      </c>
      <c r="AE134" s="49">
        <f t="shared" si="163"/>
      </c>
      <c r="AF134" s="45">
        <f t="shared" si="163"/>
      </c>
      <c r="AG134" s="77">
        <f t="shared" si="163"/>
      </c>
      <c r="AH134" s="163"/>
      <c r="AI134" s="173"/>
      <c r="AJ134" s="174"/>
      <c r="AK134" s="167"/>
      <c r="AL134" s="168"/>
      <c r="AM134" s="159"/>
      <c r="AN134" s="161"/>
      <c r="AQ134" s="61" t="s">
        <v>235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</row>
    <row r="135" spans="1:109" ht="30.75" customHeight="1">
      <c r="A135" s="309" t="s">
        <v>73</v>
      </c>
      <c r="B135" s="310"/>
      <c r="C135" s="310"/>
      <c r="D135" s="310"/>
      <c r="E135" s="310"/>
      <c r="F135" s="82" t="s">
        <v>197</v>
      </c>
      <c r="G135" s="90">
        <f>VLOOKUP(завтрак1,таб,48,FALSE)</f>
        <v>0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>
        <f>VLOOKUP(завтрак7,таб,48,FALSE)</f>
        <v>0</v>
      </c>
      <c r="N135" s="71">
        <f>VLOOKUP(завтрак8,таб,48,FALSE)</f>
        <v>0</v>
      </c>
      <c r="O135" s="36">
        <f>VLOOKUP(обед1,таб,48,FALSE)</f>
        <v>0</v>
      </c>
      <c r="P135" s="35">
        <f>VLOOKUP(обед2,таб,48,FALSE)</f>
        <v>0</v>
      </c>
      <c r="Q135" s="34">
        <f>VLOOKUP(обед3,таб,48,FALSE)</f>
        <v>0</v>
      </c>
      <c r="R135" s="35">
        <f>VLOOKUP(обед4,таб,48,FALSE)</f>
        <v>0</v>
      </c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79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>
        <f>VLOOKUP(ужин3,таб,48,FALSE)</f>
        <v>0</v>
      </c>
      <c r="AC135" s="34">
        <f>VLOOKUP(ужин4,таб,48,FALSE)</f>
        <v>0</v>
      </c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79">
        <f>VLOOKUP(ужин8,таб,48,FALSE)</f>
        <v>0</v>
      </c>
      <c r="AH135" s="162"/>
      <c r="AI135" s="173">
        <f>AK135/сред</f>
        <v>0</v>
      </c>
      <c r="AJ135" s="174"/>
      <c r="AK135" s="165">
        <f>SUM(G136:AG136)</f>
        <v>0</v>
      </c>
      <c r="AL135" s="166"/>
      <c r="AM135" s="158">
        <f>IF(AK135=0,0,CL117)</f>
        <v>0</v>
      </c>
      <c r="AN135" s="160">
        <f>AK135*AM135</f>
        <v>0</v>
      </c>
      <c r="AQ135" s="61" t="s">
        <v>244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25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</row>
    <row r="136" spans="1:109" ht="30.75" customHeight="1">
      <c r="A136" s="311"/>
      <c r="B136" s="312"/>
      <c r="C136" s="312"/>
      <c r="D136" s="312"/>
      <c r="E136" s="312"/>
      <c r="F136" s="83" t="s">
        <v>198</v>
      </c>
      <c r="G136" s="91">
        <f aca="true" t="shared" si="164" ref="G136:N136">IF(G135=0,"",завтракл*G135/1000)</f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>
        <f t="shared" si="164"/>
      </c>
      <c r="N136" s="72">
        <f t="shared" si="164"/>
      </c>
      <c r="O136" s="48">
        <f aca="true" t="shared" si="165" ref="O136:V136">IF(O135=0,"",обідл*O135/1000)</f>
      </c>
      <c r="P136" s="46">
        <f t="shared" si="165"/>
      </c>
      <c r="Q136" s="47">
        <f t="shared" si="165"/>
      </c>
      <c r="R136" s="46">
        <f t="shared" si="165"/>
      </c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72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>
        <f t="shared" si="166"/>
      </c>
      <c r="AC136" s="47">
        <f t="shared" si="166"/>
      </c>
      <c r="AD136" s="46">
        <f t="shared" si="166"/>
      </c>
      <c r="AE136" s="47">
        <f t="shared" si="166"/>
      </c>
      <c r="AF136" s="46">
        <f t="shared" si="166"/>
      </c>
      <c r="AG136" s="72">
        <f t="shared" si="166"/>
      </c>
      <c r="AH136" s="163"/>
      <c r="AI136" s="173"/>
      <c r="AJ136" s="174"/>
      <c r="AK136" s="167"/>
      <c r="AL136" s="168"/>
      <c r="AM136" s="159"/>
      <c r="AN136" s="161"/>
      <c r="AQ136" s="62" t="s">
        <v>236</v>
      </c>
      <c r="AR136" s="61"/>
      <c r="AS136" s="61"/>
      <c r="AT136" s="61"/>
      <c r="AU136" s="61"/>
      <c r="AV136" s="61"/>
      <c r="AW136" s="61"/>
      <c r="AX136" s="61"/>
      <c r="AY136" s="61"/>
      <c r="AZ136" s="61">
        <v>3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80.2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20</v>
      </c>
      <c r="BX136" s="61"/>
      <c r="BY136" s="61">
        <v>30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150</v>
      </c>
    </row>
    <row r="137" spans="1:109" ht="30.75" customHeight="1">
      <c r="A137" s="237" t="s">
        <v>48</v>
      </c>
      <c r="B137" s="237"/>
      <c r="C137" s="237"/>
      <c r="D137" s="237"/>
      <c r="E137" s="238"/>
      <c r="F137" s="82" t="s">
        <v>197</v>
      </c>
      <c r="G137" s="93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>
        <f>VLOOKUP(завтрак7,таб,49,FALSE)</f>
        <v>0</v>
      </c>
      <c r="N137" s="71">
        <f>VLOOKUP(завтрак8,таб,49,FALSE)</f>
        <v>0</v>
      </c>
      <c r="O137" s="39">
        <f>VLOOKUP(обед1,таб,51,FALSE)</f>
        <v>53</v>
      </c>
      <c r="P137" s="38">
        <f>VLOOKUP(обед2,таб,51,FALSE)</f>
        <v>0</v>
      </c>
      <c r="Q137" s="37">
        <f>VLOOKUP(обед3,таб,51,FALSE)</f>
        <v>0</v>
      </c>
      <c r="R137" s="38">
        <f>VLOOKUP(обед4,таб,51,FALSE)</f>
        <v>0</v>
      </c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80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>
        <f>VLOOKUP(ужин3,таб,51,FALSE)</f>
        <v>160</v>
      </c>
      <c r="AC137" s="37">
        <f>VLOOKUP(ужин4,таб,51,FALSE)</f>
        <v>0</v>
      </c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80">
        <f>VLOOKUP(ужин8,таб,51,FALSE)</f>
        <v>0</v>
      </c>
      <c r="AH137" s="162">
        <v>615094</v>
      </c>
      <c r="AI137" s="173">
        <f>AK137/сред</f>
        <v>0.213</v>
      </c>
      <c r="AJ137" s="174"/>
      <c r="AK137" s="165">
        <f>SUM(G138:AG138)</f>
        <v>5.325</v>
      </c>
      <c r="AL137" s="166"/>
      <c r="AM137" s="158">
        <f>IF(AK137=0,0,CO117)</f>
        <v>6.8</v>
      </c>
      <c r="AN137" s="160">
        <f>AK137*AM137</f>
        <v>36.21</v>
      </c>
      <c r="AQ137" s="61" t="s">
        <v>237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</row>
    <row r="138" spans="1:109" ht="30.75" customHeight="1">
      <c r="A138" s="239"/>
      <c r="B138" s="239"/>
      <c r="C138" s="239"/>
      <c r="D138" s="239"/>
      <c r="E138" s="240"/>
      <c r="F138" s="83" t="s">
        <v>198</v>
      </c>
      <c r="G138" s="92">
        <f aca="true" t="shared" si="167" ref="G138:N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>
        <f t="shared" si="167"/>
      </c>
      <c r="N138" s="72">
        <f t="shared" si="167"/>
      </c>
      <c r="O138" s="50">
        <f aca="true" t="shared" si="168" ref="O138:V138">IF(O137=0,"",обідл*O137/1000)</f>
        <v>1.325</v>
      </c>
      <c r="P138" s="45">
        <f t="shared" si="168"/>
      </c>
      <c r="Q138" s="49">
        <f t="shared" si="168"/>
      </c>
      <c r="R138" s="45">
        <f t="shared" si="168"/>
      </c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77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>
        <f t="shared" si="169"/>
        <v>4</v>
      </c>
      <c r="AC138" s="49">
        <f t="shared" si="169"/>
      </c>
      <c r="AD138" s="45">
        <f t="shared" si="169"/>
      </c>
      <c r="AE138" s="49">
        <f t="shared" si="169"/>
      </c>
      <c r="AF138" s="45">
        <f t="shared" si="169"/>
      </c>
      <c r="AG138" s="77">
        <f t="shared" si="169"/>
      </c>
      <c r="AH138" s="163"/>
      <c r="AI138" s="173"/>
      <c r="AJ138" s="174"/>
      <c r="AK138" s="167"/>
      <c r="AL138" s="168"/>
      <c r="AM138" s="159"/>
      <c r="AN138" s="161"/>
      <c r="AQ138" s="61" t="s">
        <v>238</v>
      </c>
      <c r="AR138" s="61"/>
      <c r="AS138" s="61"/>
      <c r="AT138" s="61"/>
      <c r="AU138" s="61"/>
      <c r="AV138" s="61"/>
      <c r="AW138" s="61"/>
      <c r="AX138" s="61">
        <v>51</v>
      </c>
      <c r="AY138" s="61"/>
      <c r="AZ138" s="61"/>
      <c r="BA138" s="61"/>
      <c r="BB138" s="61"/>
      <c r="BC138" s="61">
        <v>5</v>
      </c>
      <c r="BD138" s="61">
        <v>15</v>
      </c>
      <c r="BE138" s="61"/>
      <c r="BF138" s="61"/>
      <c r="BG138" s="61"/>
      <c r="BH138" s="61"/>
      <c r="BI138" s="61"/>
      <c r="BJ138" s="61"/>
      <c r="BK138" s="61"/>
      <c r="BL138" s="61">
        <v>6</v>
      </c>
      <c r="BM138" s="61"/>
      <c r="BN138" s="61"/>
      <c r="BO138" s="61"/>
      <c r="BP138" s="61"/>
      <c r="BQ138" s="61"/>
      <c r="BR138" s="61">
        <v>10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12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299</v>
      </c>
    </row>
    <row r="139" spans="1:109" ht="30.75" customHeight="1">
      <c r="A139" s="259" t="s">
        <v>317</v>
      </c>
      <c r="B139" s="259"/>
      <c r="C139" s="259"/>
      <c r="D139" s="259"/>
      <c r="E139" s="260"/>
      <c r="F139" s="82" t="s">
        <v>197</v>
      </c>
      <c r="G139" s="90">
        <f>VLOOKUP(завтрак1,таб,50,FALSE)</f>
        <v>0</v>
      </c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>
        <f>VLOOKUP(завтрак7,таб,50,FALSE)</f>
        <v>0</v>
      </c>
      <c r="N139" s="71">
        <f>VLOOKUP(завтрак8,таб,50,FALSE)</f>
        <v>0</v>
      </c>
      <c r="O139" s="36">
        <f>VLOOKUP(обед1,таб,50,FALSE)</f>
        <v>0</v>
      </c>
      <c r="P139" s="35">
        <f>VLOOKUP(обед2,таб,50,FALSE)</f>
        <v>0</v>
      </c>
      <c r="Q139" s="34">
        <f>VLOOKUP(обед3,таб,50,FALSE)</f>
        <v>0</v>
      </c>
      <c r="R139" s="35">
        <f>VLOOKUP(обед4,таб,50,FALSE)</f>
        <v>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79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f>VLOOKUP(ужин3,таб,50,FALSE)</f>
        <v>0</v>
      </c>
      <c r="AC139" s="34">
        <f>VLOOKUP(ужин4,таб,50,FALSE)</f>
        <v>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79">
        <f>VLOOKUP(ужин8,таб,50,FALSE)</f>
        <v>0</v>
      </c>
      <c r="AH139" s="162"/>
      <c r="AI139" s="173">
        <f>AK139/сред</f>
        <v>0</v>
      </c>
      <c r="AJ139" s="174"/>
      <c r="AK139" s="165">
        <f>SUM(G140:AG140)</f>
        <v>0</v>
      </c>
      <c r="AL139" s="166"/>
      <c r="AM139" s="158">
        <f>IF(AK139=0,0,CN117)</f>
        <v>0</v>
      </c>
      <c r="AN139" s="160">
        <f>AK139*AM139</f>
        <v>0</v>
      </c>
      <c r="AQ139" s="61" t="s">
        <v>239</v>
      </c>
      <c r="AR139" s="61"/>
      <c r="AS139" s="61"/>
      <c r="AT139" s="61"/>
      <c r="AU139" s="61"/>
      <c r="AV139" s="61"/>
      <c r="AW139" s="61"/>
      <c r="AX139" s="61">
        <v>51</v>
      </c>
      <c r="AY139" s="61"/>
      <c r="AZ139" s="61"/>
      <c r="BA139" s="61"/>
      <c r="BB139" s="61"/>
      <c r="BC139" s="61">
        <v>5</v>
      </c>
      <c r="BD139" s="61">
        <v>15</v>
      </c>
      <c r="BE139" s="61"/>
      <c r="BF139" s="61"/>
      <c r="BG139" s="61">
        <v>25</v>
      </c>
      <c r="BH139" s="61"/>
      <c r="BI139" s="61"/>
      <c r="BJ139" s="61"/>
      <c r="BK139" s="61"/>
      <c r="BL139" s="61">
        <v>6</v>
      </c>
      <c r="BM139" s="61"/>
      <c r="BN139" s="61"/>
      <c r="BO139" s="61"/>
      <c r="BP139" s="61"/>
      <c r="BQ139" s="61"/>
      <c r="BR139" s="61">
        <v>10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12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299</v>
      </c>
    </row>
    <row r="140" spans="1:109" ht="30.75" customHeight="1">
      <c r="A140" s="259"/>
      <c r="B140" s="259"/>
      <c r="C140" s="259"/>
      <c r="D140" s="259"/>
      <c r="E140" s="260"/>
      <c r="F140" s="83" t="s">
        <v>198</v>
      </c>
      <c r="G140" s="91">
        <f aca="true" t="shared" si="170" ref="G140:N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>
        <f t="shared" si="170"/>
      </c>
      <c r="N140" s="72">
        <f t="shared" si="170"/>
      </c>
      <c r="O140" s="48">
        <f aca="true" t="shared" si="171" ref="O140:V140">IF(O139=0,"",обідл*O139/1000)</f>
      </c>
      <c r="P140" s="46">
        <f t="shared" si="171"/>
      </c>
      <c r="Q140" s="47">
        <f t="shared" si="171"/>
      </c>
      <c r="R140" s="46">
        <f t="shared" si="171"/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72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</c>
      <c r="AC140" s="47">
        <f t="shared" si="172"/>
      </c>
      <c r="AD140" s="46">
        <f t="shared" si="172"/>
      </c>
      <c r="AE140" s="47">
        <f t="shared" si="172"/>
      </c>
      <c r="AF140" s="46">
        <f t="shared" si="172"/>
      </c>
      <c r="AG140" s="72">
        <f t="shared" si="172"/>
      </c>
      <c r="AH140" s="163"/>
      <c r="AI140" s="173"/>
      <c r="AJ140" s="174"/>
      <c r="AK140" s="167"/>
      <c r="AL140" s="168"/>
      <c r="AM140" s="159"/>
      <c r="AN140" s="161"/>
      <c r="AQ140" s="61" t="s">
        <v>254</v>
      </c>
      <c r="CK140">
        <v>100</v>
      </c>
      <c r="DE140" s="61">
        <v>100</v>
      </c>
    </row>
    <row r="141" spans="1:109" ht="30.75" customHeight="1">
      <c r="A141" s="237" t="s">
        <v>49</v>
      </c>
      <c r="B141" s="237"/>
      <c r="C141" s="237"/>
      <c r="D141" s="237"/>
      <c r="E141" s="238"/>
      <c r="F141" s="82" t="s">
        <v>197</v>
      </c>
      <c r="G141" s="93">
        <f>VLOOKUP(завтрак1,таб,49,FALSE)</f>
        <v>0</v>
      </c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>
        <f>VLOOKUP(завтрак7,таб,51,FALSE)</f>
        <v>0</v>
      </c>
      <c r="N141" s="71">
        <f>VLOOKUP(завтрак8,таб,51,FALSE)</f>
        <v>0</v>
      </c>
      <c r="O141" s="39">
        <v>2</v>
      </c>
      <c r="P141" s="38">
        <v>1</v>
      </c>
      <c r="Q141" s="37">
        <f>VLOOKUP(обед3,таб,49,FALSE)</f>
        <v>0</v>
      </c>
      <c r="R141" s="38">
        <f>VLOOKUP(обед4,таб,49,FALSE)</f>
        <v>0</v>
      </c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80">
        <f>VLOOKUP(полдник3,таб,49,FALSE)</f>
        <v>0</v>
      </c>
      <c r="Z141" s="39">
        <f>VLOOKUP(ужин1,таб,49,FALSE)</f>
        <v>0</v>
      </c>
      <c r="AA141" s="37">
        <f>VLOOKUP(ужин2,таб,49,FALSE)</f>
        <v>1</v>
      </c>
      <c r="AB141" s="38">
        <f>VLOOKUP(ужин3,таб,49,FALSE)</f>
        <v>0</v>
      </c>
      <c r="AC141" s="37">
        <f>VLOOKUP(ужин4,таб,49,FALSE)</f>
        <v>0</v>
      </c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80">
        <f>VLOOKUP(ужин8,таб,49,FALSE)</f>
        <v>0</v>
      </c>
      <c r="AH141" s="162"/>
      <c r="AI141" s="173">
        <f>AK141/сред</f>
        <v>0.004</v>
      </c>
      <c r="AJ141" s="174"/>
      <c r="AK141" s="165">
        <f>SUM(G142:AG142)</f>
        <v>0.1</v>
      </c>
      <c r="AL141" s="166"/>
      <c r="AM141" s="158">
        <f>IF(AK141=0,0,CM117)</f>
        <v>52.8</v>
      </c>
      <c r="AN141" s="160">
        <f>AK141*AM141</f>
        <v>5.28</v>
      </c>
      <c r="AQ141" s="61" t="s">
        <v>256</v>
      </c>
      <c r="AU141" s="96">
        <v>35</v>
      </c>
      <c r="DE141" s="61">
        <v>35</v>
      </c>
    </row>
    <row r="142" spans="1:109" ht="30.75" customHeight="1">
      <c r="A142" s="239"/>
      <c r="B142" s="239"/>
      <c r="C142" s="239"/>
      <c r="D142" s="239"/>
      <c r="E142" s="240"/>
      <c r="F142" s="83" t="s">
        <v>198</v>
      </c>
      <c r="G142" s="92">
        <f aca="true" t="shared" si="173" ref="G142:N142">IF(G141=0,"",завтракл*G141/1000)</f>
      </c>
      <c r="H142" s="49">
        <f t="shared" si="173"/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>
        <f t="shared" si="173"/>
      </c>
      <c r="N142" s="72">
        <f t="shared" si="173"/>
      </c>
      <c r="O142" s="50">
        <f aca="true" t="shared" si="174" ref="O142:V142">IF(O141=0,"",обідл*O141/1000)</f>
        <v>0.05</v>
      </c>
      <c r="P142" s="45">
        <f t="shared" si="174"/>
        <v>0.025</v>
      </c>
      <c r="Q142" s="49">
        <f t="shared" si="174"/>
      </c>
      <c r="R142" s="45">
        <f t="shared" si="174"/>
      </c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77">
        <f>IF(Y141=0,"",полдникл*Y141/1000)</f>
      </c>
      <c r="Z142" s="50">
        <f aca="true" t="shared" si="175" ref="Z142:AG142">IF(Z141=0,"",ужинл*Z141/1000)</f>
      </c>
      <c r="AA142" s="49">
        <f t="shared" si="175"/>
        <v>0.025</v>
      </c>
      <c r="AB142" s="45">
        <f t="shared" si="175"/>
      </c>
      <c r="AC142" s="49">
        <f t="shared" si="175"/>
      </c>
      <c r="AD142" s="45">
        <f t="shared" si="175"/>
      </c>
      <c r="AE142" s="49">
        <f t="shared" si="175"/>
      </c>
      <c r="AF142" s="45">
        <f t="shared" si="175"/>
      </c>
      <c r="AG142" s="77">
        <f t="shared" si="175"/>
      </c>
      <c r="AH142" s="163"/>
      <c r="AI142" s="173"/>
      <c r="AJ142" s="174"/>
      <c r="AK142" s="167"/>
      <c r="AL142" s="168"/>
      <c r="AM142" s="159"/>
      <c r="AN142" s="161"/>
      <c r="AQ142" s="61" t="s">
        <v>257</v>
      </c>
      <c r="AY142">
        <v>150</v>
      </c>
      <c r="DE142" s="61">
        <v>150</v>
      </c>
    </row>
    <row r="143" spans="1:109" ht="30.75" customHeight="1">
      <c r="A143" s="196" t="s">
        <v>82</v>
      </c>
      <c r="B143" s="196"/>
      <c r="C143" s="196"/>
      <c r="D143" s="196"/>
      <c r="E143" s="197"/>
      <c r="F143" s="82" t="s">
        <v>197</v>
      </c>
      <c r="G143" s="90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>
        <f>VLOOKUP(завтрак7,таб,68,FALSE)</f>
        <v>0</v>
      </c>
      <c r="N143" s="71">
        <f>VLOOKUP(завтрак8,таб,68,FALSE)</f>
        <v>0</v>
      </c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100</v>
      </c>
      <c r="R143" s="35">
        <f>VLOOKUP(обед4,таб,68,FALSE)</f>
        <v>0</v>
      </c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79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>
        <f>VLOOKUP(ужин3,таб,68,FALSE)</f>
        <v>0</v>
      </c>
      <c r="AC143" s="34">
        <f>VLOOKUP(ужин4,таб,68,FALSE)</f>
        <v>0</v>
      </c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79">
        <f>VLOOKUP(ужин8,таб,68,FALSE)</f>
        <v>0</v>
      </c>
      <c r="AH143" s="162"/>
      <c r="AI143" s="173">
        <f>AK143/сред</f>
        <v>0.1</v>
      </c>
      <c r="AJ143" s="174"/>
      <c r="AK143" s="165">
        <f>SUM(G144:AG144)</f>
        <v>2.5</v>
      </c>
      <c r="AL143" s="166"/>
      <c r="AM143" s="158">
        <f>IF(AK143=0,0,DF117)</f>
        <v>26.5</v>
      </c>
      <c r="AN143" s="160">
        <f>AK143*AM143</f>
        <v>66.25</v>
      </c>
      <c r="AQ143" s="61" t="s">
        <v>258</v>
      </c>
      <c r="BC143">
        <v>5</v>
      </c>
      <c r="BG143">
        <v>25</v>
      </c>
      <c r="BH143">
        <v>110</v>
      </c>
      <c r="BJ143">
        <v>0.1</v>
      </c>
      <c r="BL143">
        <v>15</v>
      </c>
      <c r="BW143">
        <v>7</v>
      </c>
      <c r="BY143">
        <v>30</v>
      </c>
      <c r="DE143" s="61">
        <v>175</v>
      </c>
    </row>
    <row r="144" spans="1:109" ht="30.75" customHeight="1">
      <c r="A144" s="196"/>
      <c r="B144" s="196"/>
      <c r="C144" s="196"/>
      <c r="D144" s="196"/>
      <c r="E144" s="197"/>
      <c r="F144" s="83" t="s">
        <v>198</v>
      </c>
      <c r="G144" s="91">
        <f aca="true" t="shared" si="176" ref="G144:N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>
        <f t="shared" si="176"/>
      </c>
      <c r="N144" s="72">
        <f t="shared" si="176"/>
      </c>
      <c r="O144" s="48">
        <f aca="true" t="shared" si="177" ref="O144:V144">IF(O143=0,"",обідл*O143/1000)</f>
      </c>
      <c r="P144" s="46">
        <f t="shared" si="177"/>
      </c>
      <c r="Q144" s="47">
        <f t="shared" si="177"/>
        <v>2.5</v>
      </c>
      <c r="R144" s="46">
        <f t="shared" si="177"/>
      </c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72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>
        <f t="shared" si="178"/>
      </c>
      <c r="AC144" s="47">
        <f t="shared" si="178"/>
      </c>
      <c r="AD144" s="46">
        <f t="shared" si="178"/>
      </c>
      <c r="AE144" s="47">
        <f t="shared" si="178"/>
      </c>
      <c r="AF144" s="46">
        <f t="shared" si="178"/>
      </c>
      <c r="AG144" s="72">
        <f t="shared" si="178"/>
      </c>
      <c r="AH144" s="163"/>
      <c r="AI144" s="173"/>
      <c r="AJ144" s="174"/>
      <c r="AK144" s="167"/>
      <c r="AL144" s="168"/>
      <c r="AM144" s="159"/>
      <c r="AN144" s="161"/>
      <c r="AQ144" s="61" t="s">
        <v>259</v>
      </c>
      <c r="AT144">
        <v>144</v>
      </c>
      <c r="BC144">
        <v>10</v>
      </c>
      <c r="BR144">
        <v>70</v>
      </c>
      <c r="CI144">
        <v>16</v>
      </c>
      <c r="CJ144">
        <v>81</v>
      </c>
      <c r="DE144" s="61">
        <v>300</v>
      </c>
    </row>
    <row r="145" spans="1:117" ht="30.75" customHeight="1">
      <c r="A145" s="237" t="s">
        <v>50</v>
      </c>
      <c r="B145" s="237"/>
      <c r="C145" s="237"/>
      <c r="D145" s="237"/>
      <c r="E145" s="238"/>
      <c r="F145" s="82" t="s">
        <v>197</v>
      </c>
      <c r="G145" s="93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0</v>
      </c>
      <c r="J145" s="37">
        <f>VLOOKUP(завтрак4,таб,52,FALSE)</f>
        <v>0</v>
      </c>
      <c r="K145" s="38">
        <f>VLOOKUP(завтрак5,таб,52,FALSE)</f>
        <v>0</v>
      </c>
      <c r="L145" s="38">
        <f>VLOOKUP(завтрак6,таб,52,FALSE)</f>
        <v>0</v>
      </c>
      <c r="M145" s="28">
        <f>VLOOKUP(завтрак7,таб,52,FALSE)</f>
        <v>0</v>
      </c>
      <c r="N145" s="71">
        <f>VLOOKUP(завтрак8,таб,52,FALSE)</f>
        <v>0</v>
      </c>
      <c r="O145" s="39">
        <f>VLOOKUP(обед1,таб,52,FALSE)</f>
        <v>0</v>
      </c>
      <c r="P145" s="38">
        <f>VLOOKUP(обед2,таб,52,FALSE)</f>
        <v>0</v>
      </c>
      <c r="Q145" s="37">
        <f>VLOOKUP(обед3,таб,52,FALSE)</f>
        <v>0</v>
      </c>
      <c r="R145" s="38">
        <f>VLOOKUP(обед4,таб,52,FALSE)</f>
        <v>0</v>
      </c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80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>
        <f>VLOOKUP(ужин3,таб,52,FALSE)</f>
        <v>0</v>
      </c>
      <c r="AC145" s="37">
        <f>VLOOKUP(ужин4,таб,52,FALSE)</f>
        <v>0</v>
      </c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80">
        <f>VLOOKUP(ужин8,таб,52,FALSE)</f>
        <v>0</v>
      </c>
      <c r="AH145" s="162"/>
      <c r="AI145" s="173">
        <f>AK145/сред</f>
        <v>0</v>
      </c>
      <c r="AJ145" s="174"/>
      <c r="AK145" s="165">
        <f>SUM(G146:AG146)</f>
        <v>0</v>
      </c>
      <c r="AL145" s="166"/>
      <c r="AM145" s="158">
        <f>IF(AK145=0,0,CP117)</f>
        <v>0</v>
      </c>
      <c r="AN145" s="160">
        <f>AK145*AM145</f>
        <v>0</v>
      </c>
      <c r="AQ145" s="61" t="s">
        <v>260</v>
      </c>
      <c r="DE145" s="61">
        <v>100</v>
      </c>
      <c r="DM145">
        <v>100</v>
      </c>
    </row>
    <row r="146" spans="1:109" ht="30.75" customHeight="1">
      <c r="A146" s="239"/>
      <c r="B146" s="239"/>
      <c r="C146" s="239"/>
      <c r="D146" s="239"/>
      <c r="E146" s="240"/>
      <c r="F146" s="83" t="s">
        <v>198</v>
      </c>
      <c r="G146" s="92">
        <f aca="true" t="shared" si="179" ref="G146:N146">IF(G145=0,"",завтракл*G145/1000)</f>
      </c>
      <c r="H146" s="45">
        <f t="shared" si="179"/>
      </c>
      <c r="I146" s="45">
        <f t="shared" si="179"/>
      </c>
      <c r="J146" s="45">
        <f t="shared" si="179"/>
      </c>
      <c r="K146" s="45">
        <f t="shared" si="179"/>
      </c>
      <c r="L146" s="45">
        <f t="shared" si="179"/>
      </c>
      <c r="M146" s="46">
        <f t="shared" si="179"/>
      </c>
      <c r="N146" s="72">
        <f t="shared" si="179"/>
      </c>
      <c r="O146" s="50">
        <f aca="true" t="shared" si="180" ref="O146:V146">IF(O145=0,"",обідл*O145/1000)</f>
      </c>
      <c r="P146" s="45">
        <f t="shared" si="180"/>
      </c>
      <c r="Q146" s="49">
        <f t="shared" si="180"/>
      </c>
      <c r="R146" s="45">
        <f t="shared" si="180"/>
      </c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77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>
        <f t="shared" si="181"/>
      </c>
      <c r="AC146" s="49">
        <f t="shared" si="181"/>
      </c>
      <c r="AD146" s="45">
        <f t="shared" si="181"/>
      </c>
      <c r="AE146" s="49">
        <f t="shared" si="181"/>
      </c>
      <c r="AF146" s="45">
        <f t="shared" si="181"/>
      </c>
      <c r="AG146" s="77">
        <f t="shared" si="181"/>
      </c>
      <c r="AH146" s="163"/>
      <c r="AI146" s="173"/>
      <c r="AJ146" s="174"/>
      <c r="AK146" s="167"/>
      <c r="AL146" s="168"/>
      <c r="AM146" s="159"/>
      <c r="AN146" s="161"/>
      <c r="AQ146" s="61" t="s">
        <v>261</v>
      </c>
      <c r="DE146" s="61">
        <v>65</v>
      </c>
    </row>
    <row r="147" spans="1:109" ht="30.75" customHeight="1">
      <c r="A147" s="196" t="s">
        <v>51</v>
      </c>
      <c r="B147" s="196"/>
      <c r="C147" s="196"/>
      <c r="D147" s="196"/>
      <c r="E147" s="197"/>
      <c r="F147" s="82" t="s">
        <v>197</v>
      </c>
      <c r="G147" s="90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v>100</v>
      </c>
      <c r="L147" s="35">
        <f>IF(завтрак6="хліб пшеничний",100,(VLOOKUP(завтрак6,таб,53,FALSE)))</f>
        <v>0</v>
      </c>
      <c r="M147" s="28">
        <f>IF(завтрак7="хліб пшеничний",100,(VLOOKUP(завтрак7,таб,53,FALSE)))</f>
        <v>0</v>
      </c>
      <c r="N147" s="71">
        <f>IF(завтрак8="хліб пшеничний",100,(VLOOKUP(завтрак8,таб,53,FALSE)))</f>
        <v>0</v>
      </c>
      <c r="O147" s="36">
        <f>IF(обед1="хліб пшеничний",180,(VLOOKUP(обед1,таб,53,FALSE)))</f>
        <v>0</v>
      </c>
      <c r="P147" s="35">
        <f>IF(обед2="хліб пшеничний",180,(VLOOKUP(обед2,таб,53,FALSE)))</f>
        <v>0</v>
      </c>
      <c r="Q147" s="34">
        <f>IF(обед3="хліб пшеничний",180,(VLOOKUP(обед3,таб,53,FALSE)))</f>
        <v>0</v>
      </c>
      <c r="R147" s="35">
        <f>IF(обед4="хліб пшеничний",180,(VLOOKUP(обед4,таб,53,FALSE)))</f>
        <v>0</v>
      </c>
      <c r="S147" s="34">
        <v>180</v>
      </c>
      <c r="T147" s="35">
        <f>IF(обед6="хліб пшеничний",180,(VLOOKUP(обед6,таб,53,FALSE)))</f>
        <v>0</v>
      </c>
      <c r="U147" s="34">
        <f>IF(обед7="хліб пшеничний",180,(VLOOKUP(обед7,таб,53,FALSE)))</f>
        <v>0</v>
      </c>
      <c r="V147" s="35">
        <f>IF(обед8="хліб пшеничний",180,(VLOOKUP(обед8,таб,53,FALSE)))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79">
        <f>VLOOKUP(полдник3,таб,53,FALSE)</f>
        <v>0</v>
      </c>
      <c r="Z147" s="36">
        <f>IF(ужин1="хліб пшеничний",130,(VLOOKUP(ужин1,таб,53,FALSE)))</f>
        <v>0</v>
      </c>
      <c r="AA147" s="34">
        <f>IF(ужин2="хліб пшеничний",130,(VLOOKUP(ужин2,таб,53,FALSE)))</f>
        <v>0</v>
      </c>
      <c r="AB147" s="35">
        <f>IF(ужин3="хліб пшеничний",130,(VLOOKUP(ужин3,таб,53,FALSE)))</f>
        <v>0</v>
      </c>
      <c r="AC147" s="34">
        <f>IF(ужин4="хліб пшеничний",130,(VLOOKUP(ужин4,таб,53,FALSE)))</f>
        <v>0</v>
      </c>
      <c r="AD147" s="35">
        <v>130</v>
      </c>
      <c r="AE147" s="34">
        <f>IF(ужин6="хліб пшеничний",130,(VLOOKUP(ужин6,таб,53,FALSE)))</f>
        <v>0</v>
      </c>
      <c r="AF147" s="35">
        <f>IF(ужин7="хліб пшеничний",130,(VLOOKUP(ужин7,таб,53,FALSE)))</f>
        <v>0</v>
      </c>
      <c r="AG147" s="79">
        <f>IF(ужин8="хліб пшеничний",130,(VLOOKUP(ужин8,таб,53,FALSE)))</f>
        <v>0</v>
      </c>
      <c r="AH147" s="162">
        <v>616001</v>
      </c>
      <c r="AI147" s="173">
        <f>AK147/сред</f>
        <v>0.41</v>
      </c>
      <c r="AJ147" s="174"/>
      <c r="AK147" s="165">
        <f>SUM(G148:AG148)</f>
        <v>10.25</v>
      </c>
      <c r="AL147" s="166"/>
      <c r="AM147" s="158">
        <f>IF(AK147=0,0,CQ117)</f>
        <v>13.8</v>
      </c>
      <c r="AN147" s="160">
        <f>AK147*AM147</f>
        <v>141.45000000000002</v>
      </c>
      <c r="AQ147" s="61" t="s">
        <v>321</v>
      </c>
      <c r="BW147">
        <v>20</v>
      </c>
      <c r="CU147">
        <v>4</v>
      </c>
      <c r="DE147" s="61">
        <v>200</v>
      </c>
    </row>
    <row r="148" spans="1:111" ht="30.75" customHeight="1">
      <c r="A148" s="196"/>
      <c r="B148" s="196"/>
      <c r="C148" s="196"/>
      <c r="D148" s="196"/>
      <c r="E148" s="197"/>
      <c r="F148" s="83" t="s">
        <v>198</v>
      </c>
      <c r="G148" s="91">
        <f aca="true" t="shared" si="182" ref="G148:N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  <v>2.5</v>
      </c>
      <c r="L148" s="46">
        <f t="shared" si="182"/>
      </c>
      <c r="M148" s="46">
        <f t="shared" si="182"/>
      </c>
      <c r="N148" s="72">
        <f t="shared" si="182"/>
      </c>
      <c r="O148" s="48">
        <f aca="true" t="shared" si="183" ref="O148:V148">IF(O147=0,"",обідл*O147/1000)</f>
      </c>
      <c r="P148" s="46">
        <f t="shared" si="183"/>
      </c>
      <c r="Q148" s="47">
        <f t="shared" si="183"/>
      </c>
      <c r="R148" s="46">
        <f t="shared" si="183"/>
      </c>
      <c r="S148" s="47">
        <f t="shared" si="183"/>
        <v>4.5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72">
        <f>IF(Y147=0,"",полдникл*Y147/1000)</f>
      </c>
      <c r="Z148" s="48">
        <f aca="true" t="shared" si="184" ref="Z148:AG148">IF(Z147=0,"",ужинл*Z147/1000)</f>
      </c>
      <c r="AA148" s="47">
        <f t="shared" si="184"/>
      </c>
      <c r="AB148" s="46">
        <f t="shared" si="184"/>
      </c>
      <c r="AC148" s="47">
        <f t="shared" si="184"/>
      </c>
      <c r="AD148" s="46">
        <f t="shared" si="184"/>
        <v>3.25</v>
      </c>
      <c r="AE148" s="47">
        <f t="shared" si="184"/>
      </c>
      <c r="AF148" s="46">
        <f t="shared" si="184"/>
      </c>
      <c r="AG148" s="72">
        <f t="shared" si="184"/>
      </c>
      <c r="AH148" s="163"/>
      <c r="AI148" s="173"/>
      <c r="AJ148" s="174"/>
      <c r="AK148" s="167"/>
      <c r="AL148" s="168"/>
      <c r="AM148" s="159"/>
      <c r="AN148" s="161"/>
      <c r="AQ148" s="61" t="s">
        <v>262</v>
      </c>
      <c r="DE148" s="61">
        <v>35</v>
      </c>
      <c r="DG148">
        <v>35</v>
      </c>
    </row>
    <row r="149" spans="1:109" ht="30.75" customHeight="1">
      <c r="A149" s="237" t="s">
        <v>52</v>
      </c>
      <c r="B149" s="237"/>
      <c r="C149" s="237"/>
      <c r="D149" s="237"/>
      <c r="E149" s="238"/>
      <c r="F149" s="82" t="s">
        <v>197</v>
      </c>
      <c r="G149" s="93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>
        <f>IF(завтрак7="хліб житній",50,(VLOOKUP(завтрак7,таб,54,FALSE)))</f>
        <v>0</v>
      </c>
      <c r="N149" s="71">
        <f>IF(завтрак8="хліб житній",50,(VLOOKUP(завтрак8,таб,54,FALSE)))</f>
        <v>0</v>
      </c>
      <c r="O149" s="39">
        <f>IF(обед1="хліб житній",100,VLOOKUP(обед1,таб,54,FALSE))</f>
        <v>0</v>
      </c>
      <c r="P149" s="38">
        <f>IF(обед2="хліб житній",100,VLOOKUP(обед2,таб,54,FALSE))</f>
        <v>0</v>
      </c>
      <c r="Q149" s="37">
        <f>IF(обед3="хліб житній",100,VLOOKUP(обед3,таб,54,FALSE))</f>
        <v>0</v>
      </c>
      <c r="R149" s="38">
        <f>IF(обед4="хліб житній",100,VLOOKUP(обед4,таб,54,FALSE))</f>
        <v>0</v>
      </c>
      <c r="S149" s="37">
        <f>IF(обед5="хліб житній",100,VLOOKUP(обед5,таб,54,FALSE))</f>
        <v>0</v>
      </c>
      <c r="T149" s="38">
        <f>IF(обед6="хліб житній",100,VLOOKUP(обед6,таб,54,FALSE))</f>
        <v>0</v>
      </c>
      <c r="U149" s="37">
        <f>IF(обед7="хліб житній",100,VLOOKUP(обед7,таб,54,FALSE))</f>
        <v>0</v>
      </c>
      <c r="V149" s="38">
        <f>IF(обед8="хліб житній",100,VLOOKUP(обед8,таб,54,FALSE))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80">
        <f>VLOOKUP(полдник3,таб,54,FALSE)</f>
        <v>0</v>
      </c>
      <c r="Z149" s="39">
        <f>IF(ужин1="хліб житній",80,VLOOKUP(ужин1,таб,54,FALSE))</f>
        <v>0</v>
      </c>
      <c r="AA149" s="37">
        <f>IF(ужин2="хліб житній",80,VLOOKUP(ужин2,таб,54,FALSE))</f>
        <v>0</v>
      </c>
      <c r="AB149" s="38">
        <f>IF(ужин3="хліб житній",80,VLOOKUP(ужин3,таб,54,FALSE))</f>
        <v>0</v>
      </c>
      <c r="AC149" s="37">
        <f>IF(ужин4="хліб житній",80,VLOOKUP(ужин4,таб,54,FALSE))</f>
        <v>0</v>
      </c>
      <c r="AD149" s="38">
        <f>IF(ужин5="хліб житній",80,VLOOKUP(ужин5,таб,54,FALSE))</f>
        <v>0</v>
      </c>
      <c r="AE149" s="37">
        <f>IF(ужин6="хліб житній",80,VLOOKUP(ужин6,таб,54,FALSE))</f>
        <v>0</v>
      </c>
      <c r="AF149" s="38">
        <f>IF(ужин7="хліб житній",80,VLOOKUP(ужин7,таб,54,FALSE))</f>
        <v>0</v>
      </c>
      <c r="AG149" s="80">
        <f>IF(ужин8="хліб житній",80,VLOOKUP(ужин8,таб,54,FALSE))</f>
        <v>0</v>
      </c>
      <c r="AH149" s="162">
        <v>616002</v>
      </c>
      <c r="AI149" s="173">
        <f>AK149/сред</f>
        <v>0</v>
      </c>
      <c r="AJ149" s="174"/>
      <c r="AK149" s="165">
        <f>SUM(G150:AG150)</f>
        <v>0</v>
      </c>
      <c r="AL149" s="166"/>
      <c r="AM149" s="158">
        <f>IF(AK149=0,0,CR117)</f>
        <v>0</v>
      </c>
      <c r="AN149" s="160">
        <f>AK149*AM149</f>
        <v>0</v>
      </c>
      <c r="AQ149" s="61" t="s">
        <v>263</v>
      </c>
      <c r="BV149">
        <v>100</v>
      </c>
      <c r="DE149" s="61">
        <v>100</v>
      </c>
    </row>
    <row r="150" spans="1:121" ht="30.75" customHeight="1">
      <c r="A150" s="239"/>
      <c r="B150" s="239"/>
      <c r="C150" s="239"/>
      <c r="D150" s="239"/>
      <c r="E150" s="240"/>
      <c r="F150" s="84" t="s">
        <v>198</v>
      </c>
      <c r="G150" s="92">
        <f aca="true" t="shared" si="185" ref="G150:N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>
        <f t="shared" si="185"/>
      </c>
      <c r="N150" s="72">
        <f t="shared" si="185"/>
      </c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>
        <f t="shared" si="186"/>
      </c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77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>
        <f t="shared" si="187"/>
      </c>
      <c r="AC150" s="49">
        <f t="shared" si="187"/>
      </c>
      <c r="AD150" s="45">
        <f t="shared" si="187"/>
      </c>
      <c r="AE150" s="49">
        <f t="shared" si="187"/>
      </c>
      <c r="AF150" s="45">
        <f t="shared" si="187"/>
      </c>
      <c r="AG150" s="77">
        <f t="shared" si="187"/>
      </c>
      <c r="AH150" s="163"/>
      <c r="AI150" s="173"/>
      <c r="AJ150" s="174"/>
      <c r="AK150" s="167"/>
      <c r="AL150" s="168"/>
      <c r="AM150" s="159"/>
      <c r="AN150" s="161"/>
      <c r="AQ150" s="61" t="s">
        <v>264</v>
      </c>
      <c r="AZ150">
        <v>5</v>
      </c>
      <c r="BG150">
        <v>25</v>
      </c>
      <c r="CG150">
        <v>137</v>
      </c>
      <c r="CH150">
        <v>60</v>
      </c>
      <c r="CI150">
        <v>15</v>
      </c>
      <c r="CJ150">
        <v>15</v>
      </c>
      <c r="CM150">
        <v>5</v>
      </c>
      <c r="CO150">
        <v>60</v>
      </c>
      <c r="DE150" s="61">
        <v>400</v>
      </c>
      <c r="DQ150">
        <v>20</v>
      </c>
    </row>
    <row r="151" spans="1:113" ht="30.75" customHeight="1">
      <c r="A151" s="259" t="s">
        <v>348</v>
      </c>
      <c r="B151" s="259"/>
      <c r="C151" s="259"/>
      <c r="D151" s="259"/>
      <c r="E151" s="260"/>
      <c r="F151" s="82" t="s">
        <v>197</v>
      </c>
      <c r="G151" s="90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>
        <f>VLOOKUP(завтрак7,таб,55,FALSE)</f>
        <v>0</v>
      </c>
      <c r="N151" s="71">
        <f>VLOOKUP(завтрак8,таб,55,FALSE)</f>
        <v>0</v>
      </c>
      <c r="O151" s="36">
        <f>VLOOKUP(обед1,таб,55,FALSE)</f>
        <v>0</v>
      </c>
      <c r="P151" s="35">
        <f>VLOOKUP(обед2,таб,55,FALSE)</f>
        <v>0</v>
      </c>
      <c r="Q151" s="34">
        <f>VLOOKUP(обед3,таб,55,FALSE)</f>
        <v>0</v>
      </c>
      <c r="R151" s="35">
        <f>VLOOKUP(обед4,таб,55,FALSE)</f>
        <v>0</v>
      </c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79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>
        <f>VLOOKUP(ужин3,таб,55,FALSE)</f>
        <v>0</v>
      </c>
      <c r="AC151" s="34">
        <f>VLOOKUP(ужин4,таб,55,FALSE)</f>
        <v>0</v>
      </c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79">
        <f>VLOOKUP(ужин8,таб,55,FALSE)</f>
        <v>0</v>
      </c>
      <c r="AH151" s="162"/>
      <c r="AI151" s="281">
        <f>AK151/сред</f>
        <v>0</v>
      </c>
      <c r="AJ151" s="282"/>
      <c r="AK151" s="169">
        <f>SUM(G152:AG152)</f>
        <v>0</v>
      </c>
      <c r="AL151" s="170"/>
      <c r="AM151" s="158">
        <f>IF(AK151=0,0,CS117)</f>
        <v>0</v>
      </c>
      <c r="AN151" s="160">
        <f>AK151*AM151</f>
        <v>0</v>
      </c>
      <c r="AQ151" s="61" t="s">
        <v>265</v>
      </c>
      <c r="AZ151">
        <v>10</v>
      </c>
      <c r="BH151">
        <v>85</v>
      </c>
      <c r="BJ151">
        <v>0.1</v>
      </c>
      <c r="BS151">
        <v>52</v>
      </c>
      <c r="BW151">
        <v>10</v>
      </c>
      <c r="DE151" s="61">
        <v>250</v>
      </c>
      <c r="DI151">
        <v>5</v>
      </c>
    </row>
    <row r="152" spans="1:113" ht="30.75" customHeight="1">
      <c r="A152" s="259"/>
      <c r="B152" s="259"/>
      <c r="C152" s="259"/>
      <c r="D152" s="259"/>
      <c r="E152" s="260"/>
      <c r="F152" s="84" t="s">
        <v>198</v>
      </c>
      <c r="G152" s="91">
        <f aca="true" t="shared" si="188" ref="G152:N152">IF(G151=0,"",завтракл*G151/1000)</f>
      </c>
      <c r="H152" s="46">
        <f t="shared" si="188"/>
      </c>
      <c r="I152" s="46">
        <f t="shared" si="188"/>
      </c>
      <c r="J152" s="46">
        <f t="shared" si="188"/>
      </c>
      <c r="K152" s="46">
        <f t="shared" si="188"/>
      </c>
      <c r="L152" s="46">
        <f t="shared" si="188"/>
      </c>
      <c r="M152" s="46">
        <f t="shared" si="188"/>
      </c>
      <c r="N152" s="72">
        <f t="shared" si="188"/>
      </c>
      <c r="O152" s="48">
        <f aca="true" t="shared" si="189" ref="O152:V152">IF(O151=0,"",обідл*O151/1000)</f>
      </c>
      <c r="P152" s="46">
        <f t="shared" si="189"/>
      </c>
      <c r="Q152" s="46">
        <f t="shared" si="189"/>
      </c>
      <c r="R152" s="46">
        <f t="shared" si="189"/>
      </c>
      <c r="S152" s="46">
        <f t="shared" si="189"/>
      </c>
      <c r="T152" s="46">
        <f t="shared" si="189"/>
      </c>
      <c r="U152" s="46">
        <f t="shared" si="189"/>
      </c>
      <c r="V152" s="46">
        <f t="shared" si="189"/>
      </c>
      <c r="W152" s="46">
        <f>IF(W151=0,"",полдникл*W151/1000)</f>
      </c>
      <c r="X152" s="46">
        <f>IF(X151=0,"",полдникл*X151/1000)</f>
      </c>
      <c r="Y152" s="72">
        <f>IF(Y151=0,"",полдникл*Y151/1000)</f>
      </c>
      <c r="Z152" s="48">
        <f aca="true" t="shared" si="190" ref="Z152:AG152">IF(Z151=0,"",ужинл*Z151/1000)</f>
      </c>
      <c r="AA152" s="46">
        <f t="shared" si="190"/>
      </c>
      <c r="AB152" s="46">
        <f t="shared" si="190"/>
      </c>
      <c r="AC152" s="46">
        <f t="shared" si="190"/>
      </c>
      <c r="AD152" s="46">
        <f t="shared" si="190"/>
      </c>
      <c r="AE152" s="46">
        <f t="shared" si="190"/>
      </c>
      <c r="AF152" s="46">
        <f t="shared" si="190"/>
      </c>
      <c r="AG152" s="72">
        <f t="shared" si="190"/>
      </c>
      <c r="AH152" s="164"/>
      <c r="AI152" s="281"/>
      <c r="AJ152" s="282"/>
      <c r="AK152" s="171"/>
      <c r="AL152" s="172"/>
      <c r="AM152" s="159"/>
      <c r="AN152" s="161"/>
      <c r="AQ152" s="61" t="s">
        <v>266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237" t="s">
        <v>344</v>
      </c>
      <c r="B153" s="237"/>
      <c r="C153" s="237"/>
      <c r="D153" s="237"/>
      <c r="E153" s="238"/>
      <c r="F153" s="70" t="s">
        <v>197</v>
      </c>
      <c r="G153" s="33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>
        <f>VLOOKUP(завтрак7,таб,56,FALSE)</f>
        <v>0</v>
      </c>
      <c r="N153" s="71">
        <f>VLOOKUP(завтрак8,таб,56,FALSE)</f>
        <v>0</v>
      </c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>
        <f>VLOOKUP(обед4,таб,56,FALSE)</f>
        <v>0</v>
      </c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79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>
        <f>VLOOKUP(ужин3,таб,56,FALSE)</f>
        <v>0</v>
      </c>
      <c r="AC153" s="37">
        <f>VLOOKUP(ужин4,таб,56,FALSE)</f>
        <v>0</v>
      </c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79">
        <f>VLOOKUP(ужин8,таб,56,FALSE)</f>
        <v>0</v>
      </c>
      <c r="AH153" s="162"/>
      <c r="AI153" s="173">
        <f>AK153/сред</f>
        <v>0</v>
      </c>
      <c r="AJ153" s="174"/>
      <c r="AK153" s="165">
        <f>SUM(G154:AG154)</f>
        <v>0</v>
      </c>
      <c r="AL153" s="166"/>
      <c r="AM153" s="158">
        <f>IF(AK153=0,0,CT117)</f>
        <v>0</v>
      </c>
      <c r="AN153" s="160">
        <f>AK153*AM153</f>
        <v>0</v>
      </c>
      <c r="AQ153" s="61" t="s">
        <v>267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239"/>
      <c r="B154" s="239"/>
      <c r="C154" s="239"/>
      <c r="D154" s="239"/>
      <c r="E154" s="240"/>
      <c r="F154" s="100" t="s">
        <v>198</v>
      </c>
      <c r="G154" s="48">
        <f aca="true" t="shared" si="191" ref="G154:N154">IF(G153=0,"",завтракл*G153/1000)</f>
      </c>
      <c r="H154" s="47">
        <f t="shared" si="191"/>
      </c>
      <c r="I154" s="99">
        <f t="shared" si="191"/>
      </c>
      <c r="J154" s="99">
        <f t="shared" si="191"/>
      </c>
      <c r="K154" s="99">
        <f t="shared" si="191"/>
      </c>
      <c r="L154" s="99">
        <f t="shared" si="191"/>
      </c>
      <c r="M154" s="99">
        <f t="shared" si="191"/>
      </c>
      <c r="N154" s="72">
        <f t="shared" si="191"/>
      </c>
      <c r="O154" s="47">
        <f aca="true" t="shared" si="192" ref="O154:V154">IF(O153=0,"",обідл*O153/1000)</f>
      </c>
      <c r="P154" s="99">
        <f t="shared" si="192"/>
      </c>
      <c r="Q154" s="99">
        <f t="shared" si="192"/>
      </c>
      <c r="R154" s="99">
        <f t="shared" si="192"/>
      </c>
      <c r="S154" s="99">
        <f t="shared" si="192"/>
      </c>
      <c r="T154" s="99">
        <f t="shared" si="192"/>
      </c>
      <c r="U154" s="99">
        <f t="shared" si="192"/>
      </c>
      <c r="V154" s="99">
        <f t="shared" si="192"/>
      </c>
      <c r="W154" s="99">
        <f>IF(W153=0,"",полдникл*W153/1000)</f>
      </c>
      <c r="X154" s="99">
        <f>IF(X153=0,"",полдникл*X153/1000)</f>
      </c>
      <c r="Y154" s="72">
        <f>IF(Y153=0,"",полдникл*Y153/1000)</f>
      </c>
      <c r="Z154" s="47">
        <f aca="true" t="shared" si="193" ref="Z154:AG154">IF(Z153=0,"",ужинл*Z153/1000)</f>
      </c>
      <c r="AA154" s="99">
        <f t="shared" si="193"/>
      </c>
      <c r="AB154" s="99">
        <f t="shared" si="193"/>
      </c>
      <c r="AC154" s="99">
        <f t="shared" si="193"/>
      </c>
      <c r="AD154" s="99">
        <f t="shared" si="193"/>
      </c>
      <c r="AE154" s="99">
        <f t="shared" si="193"/>
      </c>
      <c r="AF154" s="99">
        <f t="shared" si="193"/>
      </c>
      <c r="AG154" s="72">
        <f t="shared" si="193"/>
      </c>
      <c r="AH154" s="163"/>
      <c r="AI154" s="173"/>
      <c r="AJ154" s="174"/>
      <c r="AK154" s="167"/>
      <c r="AL154" s="168"/>
      <c r="AM154" s="159"/>
      <c r="AN154" s="161"/>
      <c r="AQ154" s="61" t="s">
        <v>268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196" t="s">
        <v>321</v>
      </c>
      <c r="B155" s="196"/>
      <c r="C155" s="196"/>
      <c r="D155" s="196"/>
      <c r="E155" s="197"/>
      <c r="F155" s="70" t="s">
        <v>197</v>
      </c>
      <c r="G155" s="33">
        <f>VLOOKUP(завтрак1,таб,57,FALSE)</f>
        <v>0</v>
      </c>
      <c r="H155" s="31">
        <f>VLOOKUP(завтрак2,таб,57,FALSE)</f>
        <v>0</v>
      </c>
      <c r="I155" s="31">
        <f>VLOOKUP(завтрак3,таб,57,FALSE)</f>
        <v>0</v>
      </c>
      <c r="J155" s="31">
        <f>VLOOKUP(завтрак4,таб,57,FALSE)</f>
        <v>0</v>
      </c>
      <c r="K155" s="31">
        <f>VLOOKUP(завтрак5,таб,57,FALSE)</f>
        <v>0</v>
      </c>
      <c r="L155" s="31">
        <f>VLOOKUP(завтрак6,таб,57,FALSE)</f>
        <v>0</v>
      </c>
      <c r="M155" s="31">
        <f>VLOOKUP(завтрак7,таб,57,FALSE)</f>
        <v>0</v>
      </c>
      <c r="N155" s="78">
        <f>VLOOKUP(завтрак8,таб,57,FALSE)</f>
        <v>0</v>
      </c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>
        <f>VLOOKUP(обед4,таб,57,FALSE)</f>
        <v>0</v>
      </c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79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>
        <f>VLOOKUP(ужин3,таб,57,FALSE)</f>
        <v>0</v>
      </c>
      <c r="AC155" s="34">
        <f>VLOOKUP(ужин4,таб,57,FALSE)</f>
        <v>0</v>
      </c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79">
        <f>VLOOKUP(ужин8,таб,57,FALSE)</f>
        <v>0</v>
      </c>
      <c r="AH155" s="164"/>
      <c r="AI155" s="173">
        <f>AK155/сред</f>
        <v>0</v>
      </c>
      <c r="AJ155" s="174"/>
      <c r="AK155" s="165">
        <f>SUM(G156:AG156)</f>
        <v>0</v>
      </c>
      <c r="AL155" s="166"/>
      <c r="AM155" s="158">
        <f>IF(AK155=0,0,CU117)</f>
        <v>0</v>
      </c>
      <c r="AN155" s="160">
        <f>AK155*AM155</f>
        <v>0</v>
      </c>
      <c r="AQ155" s="61" t="s">
        <v>269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196"/>
      <c r="B156" s="196"/>
      <c r="C156" s="196"/>
      <c r="D156" s="196"/>
      <c r="E156" s="197"/>
      <c r="F156" s="84" t="s">
        <v>198</v>
      </c>
      <c r="G156" s="91">
        <f aca="true" t="shared" si="194" ref="G156:N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>
        <f t="shared" si="194"/>
      </c>
      <c r="N156" s="48">
        <f t="shared" si="194"/>
      </c>
      <c r="O156" s="91">
        <f aca="true" t="shared" si="195" ref="O156:V156">IF(O155=0,"",обідл*O155/1000)</f>
      </c>
      <c r="P156" s="46">
        <f t="shared" si="195"/>
      </c>
      <c r="Q156" s="46">
        <f t="shared" si="195"/>
      </c>
      <c r="R156" s="46">
        <f t="shared" si="195"/>
      </c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101">
        <f>IF(Y155=0,"",полдникл*Y155/1000)</f>
      </c>
      <c r="Z156" s="91">
        <f aca="true" t="shared" si="196" ref="Z156:AG156">IF(Z155=0,"",ужинл*Z155/1000)</f>
      </c>
      <c r="AA156" s="46">
        <f t="shared" si="196"/>
      </c>
      <c r="AB156" s="46">
        <f t="shared" si="196"/>
      </c>
      <c r="AC156" s="46">
        <f t="shared" si="196"/>
      </c>
      <c r="AD156" s="46">
        <f t="shared" si="196"/>
      </c>
      <c r="AE156" s="46">
        <f t="shared" si="196"/>
      </c>
      <c r="AF156" s="46">
        <f t="shared" si="196"/>
      </c>
      <c r="AG156" s="101">
        <f t="shared" si="196"/>
      </c>
      <c r="AH156" s="164"/>
      <c r="AI156" s="279"/>
      <c r="AJ156" s="280"/>
      <c r="AK156" s="167"/>
      <c r="AL156" s="168"/>
      <c r="AM156" s="159"/>
      <c r="AN156" s="161"/>
      <c r="AQ156" s="61" t="s">
        <v>270</v>
      </c>
      <c r="AZ156">
        <v>10</v>
      </c>
      <c r="DE156" s="61">
        <v>125</v>
      </c>
      <c r="DK156">
        <v>42</v>
      </c>
    </row>
    <row r="157" spans="1:109" ht="30.75" customHeight="1">
      <c r="A157" s="237" t="s">
        <v>54</v>
      </c>
      <c r="B157" s="237"/>
      <c r="C157" s="237"/>
      <c r="D157" s="237"/>
      <c r="E157" s="238"/>
      <c r="F157" s="82" t="s">
        <v>197</v>
      </c>
      <c r="G157" s="93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0</v>
      </c>
      <c r="K157" s="38">
        <f>VLOOKUP(завтрак5,таб,58,FALSE)</f>
        <v>0</v>
      </c>
      <c r="L157" s="38">
        <f>VLOOKUP(завтрак6,таб,58,FALSE)</f>
        <v>0</v>
      </c>
      <c r="M157" s="28">
        <f>VLOOKUP(завтрак7,таб,58,FALSE)</f>
        <v>0</v>
      </c>
      <c r="N157" s="71">
        <f>VLOOKUP(завтрак8,таб,58,FALSE)</f>
        <v>0</v>
      </c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>
        <f>VLOOKUP(обед4,таб,58,FALSE)</f>
        <v>0</v>
      </c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0</v>
      </c>
      <c r="Y157" s="80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>
        <f>VLOOKUP(ужин3,таб,58,FALSE)</f>
        <v>0</v>
      </c>
      <c r="AC157" s="37">
        <f>VLOOKUP(ужин4,таб,58,FALSE)</f>
        <v>0</v>
      </c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79">
        <f>VLOOKUP(ужин8,таб,58,FALSE)</f>
        <v>0</v>
      </c>
      <c r="AH157" s="162">
        <v>616015</v>
      </c>
      <c r="AI157" s="173">
        <f>AK157/сред</f>
        <v>0</v>
      </c>
      <c r="AJ157" s="174"/>
      <c r="AK157" s="165">
        <f>SUM(G158:AG158)</f>
        <v>0</v>
      </c>
      <c r="AL157" s="166"/>
      <c r="AM157" s="158">
        <f>IF(AK157=0,0,CV117)</f>
        <v>0</v>
      </c>
      <c r="AN157" s="160">
        <f>AK157*AM157</f>
        <v>0</v>
      </c>
      <c r="AQ157" s="61" t="s">
        <v>271</v>
      </c>
      <c r="AZ157">
        <v>10</v>
      </c>
      <c r="BP157">
        <v>50</v>
      </c>
      <c r="DE157" s="61">
        <v>125</v>
      </c>
    </row>
    <row r="158" spans="1:109" ht="30.75" customHeight="1">
      <c r="A158" s="239"/>
      <c r="B158" s="239"/>
      <c r="C158" s="239"/>
      <c r="D158" s="239"/>
      <c r="E158" s="240"/>
      <c r="F158" s="83" t="s">
        <v>198</v>
      </c>
      <c r="G158" s="92">
        <f aca="true" t="shared" si="197" ref="G158:N158">IF(G157=0,"",завтракл*G157/1000)</f>
      </c>
      <c r="H158" s="49">
        <f t="shared" si="197"/>
      </c>
      <c r="I158" s="45">
        <f t="shared" si="197"/>
      </c>
      <c r="J158" s="49">
        <f t="shared" si="197"/>
      </c>
      <c r="K158" s="45">
        <f t="shared" si="197"/>
      </c>
      <c r="L158" s="45">
        <f t="shared" si="197"/>
      </c>
      <c r="M158" s="46">
        <f t="shared" si="197"/>
      </c>
      <c r="N158" s="72">
        <f t="shared" si="197"/>
      </c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>
        <f t="shared" si="198"/>
      </c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</c>
      <c r="Y158" s="77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>
        <f t="shared" si="199"/>
      </c>
      <c r="AC158" s="49">
        <f t="shared" si="199"/>
      </c>
      <c r="AD158" s="45">
        <f t="shared" si="199"/>
      </c>
      <c r="AE158" s="49">
        <f t="shared" si="199"/>
      </c>
      <c r="AF158" s="45">
        <f t="shared" si="199"/>
      </c>
      <c r="AG158" s="72">
        <f t="shared" si="199"/>
      </c>
      <c r="AH158" s="163"/>
      <c r="AI158" s="173"/>
      <c r="AJ158" s="174"/>
      <c r="AK158" s="167"/>
      <c r="AL158" s="168"/>
      <c r="AM158" s="159"/>
      <c r="AN158" s="161"/>
      <c r="AQ158" s="61" t="s">
        <v>272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196" t="s">
        <v>53</v>
      </c>
      <c r="B159" s="196"/>
      <c r="C159" s="196"/>
      <c r="D159" s="196"/>
      <c r="E159" s="197"/>
      <c r="F159" s="82" t="s">
        <v>197</v>
      </c>
      <c r="G159" s="90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0</v>
      </c>
      <c r="K159" s="35">
        <f>VLOOKUP(завтрак5,таб,59,FALSE)</f>
        <v>0</v>
      </c>
      <c r="L159" s="35">
        <f>VLOOKUP(завтрак6,таб,59,FALSE)</f>
        <v>2</v>
      </c>
      <c r="M159" s="28">
        <f>VLOOKUP(завтрак7,таб,59,FALSE)</f>
        <v>0</v>
      </c>
      <c r="N159" s="71">
        <f>VLOOKUP(завтрак8,таб,59,FALSE)</f>
        <v>0</v>
      </c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>
        <f>VLOOKUP(обед4,таб,59,FALSE)</f>
        <v>0</v>
      </c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79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>
        <f>VLOOKUP(ужин3,таб,59,FALSE)</f>
        <v>0</v>
      </c>
      <c r="AC159" s="34">
        <f>VLOOKUP(ужин4,таб,59,FALSE)</f>
        <v>0</v>
      </c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79">
        <f>VLOOKUP(ужин8,таб,59,FALSE)</f>
        <v>0</v>
      </c>
      <c r="AH159" s="162"/>
      <c r="AI159" s="173">
        <f>AK159/сред</f>
        <v>0.002</v>
      </c>
      <c r="AJ159" s="174"/>
      <c r="AK159" s="165">
        <f>SUM(G160:AG160)</f>
        <v>0.05</v>
      </c>
      <c r="AL159" s="166"/>
      <c r="AM159" s="158">
        <f>IF(AK159=0,0,CW117)</f>
        <v>288</v>
      </c>
      <c r="AN159" s="160">
        <f>AK159*AM159</f>
        <v>14.4</v>
      </c>
      <c r="AQ159" s="61" t="s">
        <v>273</v>
      </c>
      <c r="AS159">
        <v>174</v>
      </c>
      <c r="AZ159">
        <v>10</v>
      </c>
      <c r="BR159">
        <v>68</v>
      </c>
      <c r="CI159">
        <v>15</v>
      </c>
      <c r="CJ159">
        <v>19</v>
      </c>
      <c r="CM159">
        <v>3</v>
      </c>
      <c r="DE159" s="61">
        <v>300</v>
      </c>
    </row>
    <row r="160" spans="1:109" ht="30.75" customHeight="1">
      <c r="A160" s="196"/>
      <c r="B160" s="196"/>
      <c r="C160" s="196"/>
      <c r="D160" s="196"/>
      <c r="E160" s="197"/>
      <c r="F160" s="83" t="s">
        <v>198</v>
      </c>
      <c r="G160" s="91">
        <f aca="true" t="shared" si="200" ref="G160:N160">IF(G159=0,"",завтракл*G159/1000)</f>
      </c>
      <c r="H160" s="47">
        <f t="shared" si="200"/>
      </c>
      <c r="I160" s="46">
        <f t="shared" si="200"/>
      </c>
      <c r="J160" s="47">
        <f t="shared" si="200"/>
      </c>
      <c r="K160" s="46">
        <f t="shared" si="200"/>
      </c>
      <c r="L160" s="46">
        <f t="shared" si="200"/>
        <v>0.05</v>
      </c>
      <c r="M160" s="46">
        <f t="shared" si="200"/>
      </c>
      <c r="N160" s="72">
        <f t="shared" si="200"/>
      </c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>
        <f t="shared" si="201"/>
      </c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72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>
        <f t="shared" si="202"/>
      </c>
      <c r="AC160" s="47">
        <f t="shared" si="202"/>
      </c>
      <c r="AD160" s="46">
        <f t="shared" si="202"/>
      </c>
      <c r="AE160" s="47">
        <f t="shared" si="202"/>
      </c>
      <c r="AF160" s="46">
        <f t="shared" si="202"/>
      </c>
      <c r="AG160" s="72">
        <f t="shared" si="202"/>
      </c>
      <c r="AH160" s="163"/>
      <c r="AI160" s="173"/>
      <c r="AJ160" s="174"/>
      <c r="AK160" s="167"/>
      <c r="AL160" s="168"/>
      <c r="AM160" s="159"/>
      <c r="AN160" s="161"/>
      <c r="AQ160" s="61" t="s">
        <v>274</v>
      </c>
      <c r="AS160">
        <v>104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285</v>
      </c>
    </row>
    <row r="161" spans="1:109" ht="30.75" customHeight="1">
      <c r="A161" s="237" t="s">
        <v>2</v>
      </c>
      <c r="B161" s="237"/>
      <c r="C161" s="237"/>
      <c r="D161" s="237"/>
      <c r="E161" s="238"/>
      <c r="F161" s="82" t="s">
        <v>197</v>
      </c>
      <c r="G161" s="93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>
        <f>VLOOKUP(завтрак5,таб,60,FALSE)</f>
        <v>0</v>
      </c>
      <c r="L161" s="38">
        <f>VLOOKUP(завтрак6,таб,60,FALSE)</f>
        <v>0</v>
      </c>
      <c r="M161" s="28">
        <f>VLOOKUP(завтрак7,таб,60,FALSE)</f>
        <v>0</v>
      </c>
      <c r="N161" s="71">
        <f>VLOOKUP(завтрак8,таб,60,FALSE)</f>
        <v>0</v>
      </c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>
        <f>VLOOKUP(обед4,таб,60,FALSE)</f>
        <v>0</v>
      </c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80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>
        <f>VLOOKUP(ужин3,таб,60,FALSE)</f>
        <v>0</v>
      </c>
      <c r="AC161" s="37">
        <f>VLOOKUP(ужин4,таб,60,FALSE)</f>
        <v>0</v>
      </c>
      <c r="AD161" s="38">
        <f>VLOOKUP(ужин5,таб,60,FALSE)</f>
        <v>0</v>
      </c>
      <c r="AE161" s="37">
        <f>VLOOKUP(ужин6,таб,60,FALSE)</f>
        <v>0</v>
      </c>
      <c r="AF161" s="38">
        <f>VLOOKUP(ужин7,таб,60,FALSE)</f>
        <v>0</v>
      </c>
      <c r="AG161" s="80">
        <f>VLOOKUP(ужин8,таб,60,FALSE)</f>
        <v>0</v>
      </c>
      <c r="AH161" s="162">
        <v>616022</v>
      </c>
      <c r="AI161" s="173">
        <f>AK161/сред</f>
        <v>0</v>
      </c>
      <c r="AJ161" s="174"/>
      <c r="AK161" s="165">
        <f>SUM(G162:AG162)</f>
        <v>0</v>
      </c>
      <c r="AL161" s="166"/>
      <c r="AM161" s="158">
        <f>IF(AK161=0,0,CX117)</f>
        <v>0</v>
      </c>
      <c r="AN161" s="160">
        <f>AK161*AM161</f>
        <v>0</v>
      </c>
      <c r="AQ161" s="61" t="s">
        <v>284</v>
      </c>
      <c r="AS161">
        <v>87</v>
      </c>
      <c r="AZ161">
        <v>10</v>
      </c>
      <c r="BR161">
        <v>25</v>
      </c>
      <c r="CH161">
        <v>208</v>
      </c>
      <c r="CI161">
        <v>15</v>
      </c>
      <c r="CJ161">
        <v>15</v>
      </c>
      <c r="CM161">
        <v>10</v>
      </c>
      <c r="DE161" s="61">
        <v>250</v>
      </c>
    </row>
    <row r="162" spans="1:109" ht="30.75" customHeight="1">
      <c r="A162" s="239"/>
      <c r="B162" s="239"/>
      <c r="C162" s="239"/>
      <c r="D162" s="239"/>
      <c r="E162" s="240"/>
      <c r="F162" s="83" t="s">
        <v>198</v>
      </c>
      <c r="G162" s="92">
        <f aca="true" t="shared" si="203" ref="G162:N162">IF(G161=0,"",завтракл*G161/1000)</f>
      </c>
      <c r="H162" s="49">
        <f t="shared" si="203"/>
      </c>
      <c r="I162" s="45">
        <f t="shared" si="203"/>
      </c>
      <c r="J162" s="49">
        <f t="shared" si="203"/>
      </c>
      <c r="K162" s="45">
        <f t="shared" si="203"/>
      </c>
      <c r="L162" s="45">
        <f t="shared" si="203"/>
      </c>
      <c r="M162" s="46">
        <f t="shared" si="203"/>
      </c>
      <c r="N162" s="72">
        <f t="shared" si="203"/>
      </c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>
        <f t="shared" si="204"/>
      </c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77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>
        <f t="shared" si="205"/>
      </c>
      <c r="AC162" s="49">
        <f t="shared" si="205"/>
      </c>
      <c r="AD162" s="45">
        <f t="shared" si="205"/>
      </c>
      <c r="AE162" s="49">
        <f t="shared" si="205"/>
      </c>
      <c r="AF162" s="45">
        <f t="shared" si="205"/>
      </c>
      <c r="AG162" s="77">
        <f t="shared" si="205"/>
      </c>
      <c r="AH162" s="163"/>
      <c r="AI162" s="173"/>
      <c r="AJ162" s="174"/>
      <c r="AK162" s="167"/>
      <c r="AL162" s="168"/>
      <c r="AM162" s="159"/>
      <c r="AN162" s="161"/>
      <c r="AQ162" s="61" t="s">
        <v>275</v>
      </c>
      <c r="AS162">
        <v>87</v>
      </c>
      <c r="AZ162">
        <v>10</v>
      </c>
      <c r="CG162">
        <v>414</v>
      </c>
      <c r="CI162">
        <v>15</v>
      </c>
      <c r="CJ162">
        <v>15</v>
      </c>
      <c r="DE162" s="61">
        <v>250</v>
      </c>
    </row>
    <row r="163" spans="1:109" ht="30.75" customHeight="1">
      <c r="A163" s="196" t="s">
        <v>55</v>
      </c>
      <c r="B163" s="196"/>
      <c r="C163" s="196"/>
      <c r="D163" s="196"/>
      <c r="E163" s="197"/>
      <c r="F163" s="82" t="s">
        <v>197</v>
      </c>
      <c r="G163" s="90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>
        <f>VLOOKUP(завтрак7,таб,61,FALSE)</f>
        <v>0</v>
      </c>
      <c r="N163" s="71">
        <f>VLOOKUP(завтрак8,таб,61,FALSE)</f>
        <v>0</v>
      </c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>
        <f>VLOOKUP(обед4,таб,61,FALSE)</f>
        <v>0</v>
      </c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79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>
        <f>VLOOKUP(ужин3,таб,61,FALSE)</f>
        <v>0</v>
      </c>
      <c r="AC163" s="34">
        <f>VLOOKUP(ужин4,таб,61,FALSE)</f>
        <v>0</v>
      </c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79">
        <f>VLOOKUP(ужин8,таб,61,FALSE)</f>
        <v>0</v>
      </c>
      <c r="AH163" s="162"/>
      <c r="AI163" s="173">
        <v>0.01</v>
      </c>
      <c r="AJ163" s="174"/>
      <c r="AK163" s="165">
        <f>AI163*сред</f>
        <v>0.25</v>
      </c>
      <c r="AL163" s="166"/>
      <c r="AM163" s="158">
        <v>6.33</v>
      </c>
      <c r="AN163" s="160">
        <f>AK163*AM163</f>
        <v>1.5825</v>
      </c>
      <c r="AQ163" s="61" t="s">
        <v>276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196"/>
      <c r="B164" s="196"/>
      <c r="C164" s="196"/>
      <c r="D164" s="196"/>
      <c r="E164" s="197"/>
      <c r="F164" s="83" t="s">
        <v>198</v>
      </c>
      <c r="G164" s="91">
        <f aca="true" t="shared" si="206" ref="G164:N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>
        <f t="shared" si="206"/>
      </c>
      <c r="N164" s="72">
        <f t="shared" si="206"/>
      </c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>
        <f t="shared" si="207"/>
      </c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72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>
        <f t="shared" si="208"/>
      </c>
      <c r="AC164" s="47">
        <f t="shared" si="208"/>
      </c>
      <c r="AD164" s="46">
        <f t="shared" si="208"/>
      </c>
      <c r="AE164" s="47">
        <f t="shared" si="208"/>
      </c>
      <c r="AF164" s="46">
        <f t="shared" si="208"/>
      </c>
      <c r="AG164" s="72">
        <f t="shared" si="208"/>
      </c>
      <c r="AH164" s="163"/>
      <c r="AI164" s="173"/>
      <c r="AJ164" s="174"/>
      <c r="AK164" s="167"/>
      <c r="AL164" s="168"/>
      <c r="AM164" s="159"/>
      <c r="AN164" s="161"/>
      <c r="AQ164" s="61" t="s">
        <v>277</v>
      </c>
      <c r="AR164">
        <v>128</v>
      </c>
      <c r="AZ164">
        <v>5</v>
      </c>
      <c r="CI164">
        <v>15</v>
      </c>
      <c r="CJ164">
        <v>15</v>
      </c>
      <c r="DE164" s="61">
        <v>80</v>
      </c>
    </row>
    <row r="165" spans="1:109" ht="30.75" customHeight="1">
      <c r="A165" s="237" t="s">
        <v>56</v>
      </c>
      <c r="B165" s="237"/>
      <c r="C165" s="237"/>
      <c r="D165" s="237"/>
      <c r="E165" s="238"/>
      <c r="F165" s="82" t="s">
        <v>197</v>
      </c>
      <c r="G165" s="93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>
        <f>VLOOKUP(завтрак7,таб,62,FALSE)</f>
        <v>0</v>
      </c>
      <c r="N165" s="71">
        <f>VLOOKUP(завтрак8,таб,62,FALSE)</f>
        <v>0</v>
      </c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>
        <f>VLOOKUP(обед4,таб,62,FALSE)</f>
        <v>0</v>
      </c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0</v>
      </c>
      <c r="X165" s="38">
        <f>VLOOKUP(полдник2,таб,62,FALSE)</f>
        <v>0</v>
      </c>
      <c r="Y165" s="80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>
        <f>VLOOKUP(ужин3,таб,62,FALSE)</f>
        <v>0</v>
      </c>
      <c r="AC165" s="37">
        <f>VLOOKUP(ужин4,таб,62,FALSE)</f>
        <v>0</v>
      </c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80">
        <f>VLOOKUP(ужин8,таб,62,FALSE)</f>
        <v>0</v>
      </c>
      <c r="AH165" s="162"/>
      <c r="AI165" s="173">
        <f>AK165/сред</f>
        <v>0</v>
      </c>
      <c r="AJ165" s="174"/>
      <c r="AK165" s="165">
        <f>SUM(G166:AG166)</f>
        <v>0</v>
      </c>
      <c r="AL165" s="166"/>
      <c r="AM165" s="158">
        <f>IF(AK165=0,0,CZ117)</f>
        <v>0</v>
      </c>
      <c r="AN165" s="160">
        <f>AK165*AM165</f>
        <v>0</v>
      </c>
      <c r="AQ165" s="61" t="s">
        <v>278</v>
      </c>
      <c r="AT165">
        <v>160</v>
      </c>
      <c r="CI165">
        <v>15</v>
      </c>
      <c r="CJ165">
        <v>15</v>
      </c>
      <c r="DE165" s="61" t="s">
        <v>302</v>
      </c>
    </row>
    <row r="166" spans="1:109" ht="30.75" customHeight="1">
      <c r="A166" s="239"/>
      <c r="B166" s="239"/>
      <c r="C166" s="239"/>
      <c r="D166" s="239"/>
      <c r="E166" s="240"/>
      <c r="F166" s="83" t="s">
        <v>198</v>
      </c>
      <c r="G166" s="92">
        <f aca="true" t="shared" si="209" ref="G166:N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>
        <f t="shared" si="209"/>
      </c>
      <c r="N166" s="72">
        <f t="shared" si="209"/>
      </c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>
        <f t="shared" si="210"/>
      </c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</c>
      <c r="X166" s="45">
        <f>IF(X165=0,"",полдникл*X165/1000)</f>
      </c>
      <c r="Y166" s="77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>
        <f t="shared" si="211"/>
      </c>
      <c r="AC166" s="49">
        <f t="shared" si="211"/>
      </c>
      <c r="AD166" s="45">
        <f t="shared" si="211"/>
      </c>
      <c r="AE166" s="49">
        <f t="shared" si="211"/>
      </c>
      <c r="AF166" s="45">
        <f t="shared" si="211"/>
      </c>
      <c r="AG166" s="77">
        <f t="shared" si="211"/>
      </c>
      <c r="AH166" s="163"/>
      <c r="AI166" s="173"/>
      <c r="AJ166" s="174"/>
      <c r="AK166" s="167"/>
      <c r="AL166" s="168"/>
      <c r="AM166" s="159"/>
      <c r="AN166" s="161"/>
      <c r="AQ166" s="61" t="s">
        <v>279</v>
      </c>
      <c r="BC166">
        <v>10</v>
      </c>
      <c r="BL166">
        <v>57</v>
      </c>
      <c r="BW166">
        <v>10</v>
      </c>
      <c r="CZ166">
        <v>1</v>
      </c>
      <c r="DE166" s="61">
        <v>100</v>
      </c>
    </row>
    <row r="167" spans="1:113" ht="30.75" customHeight="1">
      <c r="A167" s="196" t="s">
        <v>57</v>
      </c>
      <c r="B167" s="196"/>
      <c r="C167" s="196"/>
      <c r="D167" s="196"/>
      <c r="E167" s="197"/>
      <c r="F167" s="82" t="s">
        <v>197</v>
      </c>
      <c r="G167" s="90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>
        <f>VLOOKUP(завтрак7,таб,63,FALSE)</f>
        <v>0</v>
      </c>
      <c r="N167" s="71">
        <f>VLOOKUP(завтрак8,таб,63,FALSE)</f>
        <v>0</v>
      </c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>
        <f>VLOOKUP(обед4,таб,63,FALSE)</f>
        <v>0</v>
      </c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79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>
        <f>VLOOKUP(ужин3,таб,63,FALSE)</f>
        <v>0</v>
      </c>
      <c r="AC167" s="34">
        <f>VLOOKUP(ужин4,таб,63,FALSE)</f>
        <v>0</v>
      </c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79">
        <f>VLOOKUP(ужин8,таб,63,FALSE)</f>
        <v>0</v>
      </c>
      <c r="AH167" s="162"/>
      <c r="AI167" s="173">
        <f>AK167/сред</f>
        <v>0</v>
      </c>
      <c r="AJ167" s="174"/>
      <c r="AK167" s="165">
        <f>SUM(G168:AG168)</f>
        <v>0</v>
      </c>
      <c r="AL167" s="166"/>
      <c r="AM167" s="158">
        <f>IF(AK167=0,0,DA117)</f>
        <v>0</v>
      </c>
      <c r="AN167" s="160">
        <f>AK167*AM167</f>
        <v>0</v>
      </c>
      <c r="AQ167" s="61" t="s">
        <v>280</v>
      </c>
      <c r="AX167">
        <v>120</v>
      </c>
      <c r="BC167">
        <v>3</v>
      </c>
      <c r="BJ167">
        <v>0.1</v>
      </c>
      <c r="CQ167">
        <v>14</v>
      </c>
      <c r="DE167" s="61">
        <v>80</v>
      </c>
      <c r="DI167">
        <v>5</v>
      </c>
    </row>
    <row r="168" spans="1:109" ht="30.75" customHeight="1">
      <c r="A168" s="196"/>
      <c r="B168" s="196"/>
      <c r="C168" s="196"/>
      <c r="D168" s="196"/>
      <c r="E168" s="197"/>
      <c r="F168" s="83" t="s">
        <v>198</v>
      </c>
      <c r="G168" s="95">
        <f aca="true" t="shared" si="212" ref="G168:N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>
        <f t="shared" si="212"/>
      </c>
      <c r="N168" s="74">
        <f t="shared" si="212"/>
      </c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>
        <f t="shared" si="213"/>
      </c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74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>
        <f t="shared" si="214"/>
      </c>
      <c r="AC168" s="52">
        <f t="shared" si="214"/>
      </c>
      <c r="AD168" s="51">
        <f t="shared" si="214"/>
      </c>
      <c r="AE168" s="52">
        <f t="shared" si="214"/>
      </c>
      <c r="AF168" s="51">
        <f t="shared" si="214"/>
      </c>
      <c r="AG168" s="74">
        <f t="shared" si="214"/>
      </c>
      <c r="AH168" s="163"/>
      <c r="AI168" s="173"/>
      <c r="AJ168" s="174"/>
      <c r="AK168" s="167"/>
      <c r="AL168" s="168"/>
      <c r="AM168" s="159"/>
      <c r="AN168" s="161"/>
      <c r="AQ168" s="61" t="s">
        <v>281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196" t="s">
        <v>58</v>
      </c>
      <c r="B169" s="196"/>
      <c r="C169" s="196"/>
      <c r="D169" s="196"/>
      <c r="E169" s="197"/>
      <c r="F169" s="82" t="s">
        <v>197</v>
      </c>
      <c r="G169" s="90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>
        <f>VLOOKUP(завтрак7,таб,64,FALSE)</f>
        <v>0</v>
      </c>
      <c r="N169" s="71">
        <f>VLOOKUP(завтрак8,таб,64,FALSE)</f>
        <v>0</v>
      </c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>
        <f>VLOOKUP(обед4,таб,64,FALSE)</f>
        <v>0</v>
      </c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79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>
        <f>VLOOKUP(ужин3,таб,64,FALSE)</f>
        <v>0</v>
      </c>
      <c r="AC169" s="34">
        <f>VLOOKUP(ужин4,таб,64,FALSE)</f>
        <v>0</v>
      </c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79">
        <f>VLOOKUP(ужин8,таб,64,FALSE)</f>
        <v>0</v>
      </c>
      <c r="AH169" s="162"/>
      <c r="AI169" s="173">
        <f>AK169/сред</f>
        <v>0</v>
      </c>
      <c r="AJ169" s="174"/>
      <c r="AK169" s="165">
        <f>SUM(G170:AG170)</f>
        <v>0</v>
      </c>
      <c r="AL169" s="166"/>
      <c r="AM169" s="158">
        <f>IF(AK169=0,0,DB117)</f>
        <v>0</v>
      </c>
      <c r="AN169" s="160">
        <f>AK169*AM169</f>
        <v>0</v>
      </c>
      <c r="AQ169" s="61" t="s">
        <v>282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196"/>
      <c r="B170" s="196"/>
      <c r="C170" s="196"/>
      <c r="D170" s="196"/>
      <c r="E170" s="197"/>
      <c r="F170" s="83" t="s">
        <v>198</v>
      </c>
      <c r="G170" s="91">
        <f aca="true" t="shared" si="215" ref="G170:N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>
        <f t="shared" si="215"/>
      </c>
      <c r="N170" s="72">
        <f t="shared" si="215"/>
      </c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>
        <f t="shared" si="216"/>
      </c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72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>
        <f t="shared" si="217"/>
      </c>
      <c r="AC170" s="47">
        <f t="shared" si="217"/>
      </c>
      <c r="AD170" s="46">
        <f t="shared" si="217"/>
      </c>
      <c r="AE170" s="47">
        <f t="shared" si="217"/>
      </c>
      <c r="AF170" s="46">
        <f t="shared" si="217"/>
      </c>
      <c r="AG170" s="72">
        <f t="shared" si="217"/>
      </c>
      <c r="AH170" s="163"/>
      <c r="AI170" s="173"/>
      <c r="AJ170" s="174"/>
      <c r="AK170" s="167"/>
      <c r="AL170" s="168"/>
      <c r="AM170" s="159"/>
      <c r="AN170" s="161"/>
      <c r="AQ170" s="61" t="s">
        <v>285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>
        <v>90</v>
      </c>
    </row>
    <row r="171" spans="1:109" ht="30.75" customHeight="1">
      <c r="A171" s="196" t="s">
        <v>59</v>
      </c>
      <c r="B171" s="196"/>
      <c r="C171" s="196"/>
      <c r="D171" s="196"/>
      <c r="E171" s="197"/>
      <c r="F171" s="82" t="s">
        <v>197</v>
      </c>
      <c r="G171" s="93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>
        <f>VLOOKUP(завтрак7,таб,65,FALSE)</f>
        <v>0</v>
      </c>
      <c r="N171" s="71">
        <f>VLOOKUP(завтрак8,таб,65,FALSE)</f>
        <v>0</v>
      </c>
      <c r="O171" s="39">
        <f>VLOOKUP(обед1,таб,65,FALSE)</f>
        <v>0</v>
      </c>
      <c r="P171" s="38">
        <f>VLOOKUP(обед2,таб,65,FALSE)</f>
        <v>0</v>
      </c>
      <c r="Q171" s="37">
        <f>VLOOKUP(обед3,таб,65,FALSE)</f>
        <v>0</v>
      </c>
      <c r="R171" s="38">
        <f>VLOOKUP(обед4,таб,65,FALSE)</f>
        <v>0</v>
      </c>
      <c r="S171" s="37">
        <f>VLOOKUP(обед5,таб,65,FALSE)</f>
        <v>0</v>
      </c>
      <c r="T171" s="38">
        <f>VLOOKUP(обед6,таб,65,FALSE)</f>
        <v>0</v>
      </c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80">
        <f>VLOOKUP(полдник3,таб,65,FALSE)</f>
        <v>0</v>
      </c>
      <c r="Z171" s="39">
        <f>VLOOKUP(ужин1,таб,65,FALSE)</f>
        <v>0</v>
      </c>
      <c r="AA171" s="37">
        <f>VLOOKUP(ужин2,таб,65,FALSE)</f>
        <v>0</v>
      </c>
      <c r="AB171" s="38">
        <f>VLOOKUP(ужин3,таб,65,FALSE)</f>
        <v>0</v>
      </c>
      <c r="AC171" s="37">
        <f>VLOOKUP(ужин4,таб,65,FALSE)</f>
        <v>0</v>
      </c>
      <c r="AD171" s="38">
        <f>VLOOKUP(ужин5,таб,65,FALSE)</f>
        <v>0</v>
      </c>
      <c r="AE171" s="37">
        <f>VLOOKUP(ужин6,таб,65,FALSE)</f>
        <v>1</v>
      </c>
      <c r="AF171" s="38">
        <f>VLOOKUP(ужин7,таб,65,FALSE)</f>
        <v>0</v>
      </c>
      <c r="AG171" s="80">
        <f>VLOOKUP(ужин8,таб,65,FALSE)</f>
        <v>0</v>
      </c>
      <c r="AH171" s="162"/>
      <c r="AI171" s="173">
        <f>AK171/сред</f>
        <v>0.001</v>
      </c>
      <c r="AJ171" s="174"/>
      <c r="AK171" s="165">
        <f>SUM(G172:AG172)</f>
        <v>0.025</v>
      </c>
      <c r="AL171" s="166"/>
      <c r="AM171" s="158">
        <f>IF(AK171=0,0,DC117)</f>
        <v>86.67</v>
      </c>
      <c r="AN171" s="160">
        <f>AK171*AM171</f>
        <v>2.16675</v>
      </c>
      <c r="AQ171" s="61" t="s">
        <v>304</v>
      </c>
      <c r="BW171">
        <v>22</v>
      </c>
      <c r="CF171">
        <v>40</v>
      </c>
      <c r="DE171" s="61">
        <v>180</v>
      </c>
    </row>
    <row r="172" spans="1:109" ht="30.75" customHeight="1">
      <c r="A172" s="196"/>
      <c r="B172" s="196"/>
      <c r="C172" s="196"/>
      <c r="D172" s="196"/>
      <c r="E172" s="197"/>
      <c r="F172" s="83" t="s">
        <v>198</v>
      </c>
      <c r="G172" s="92">
        <f aca="true" t="shared" si="218" ref="G172:N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>
        <f t="shared" si="218"/>
      </c>
      <c r="N172" s="72">
        <f t="shared" si="218"/>
      </c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>
        <f t="shared" si="219"/>
      </c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</c>
      <c r="Y172" s="77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>
        <f t="shared" si="220"/>
      </c>
      <c r="AC172" s="49">
        <f t="shared" si="220"/>
      </c>
      <c r="AD172" s="45">
        <f t="shared" si="220"/>
      </c>
      <c r="AE172" s="49">
        <f t="shared" si="220"/>
        <v>0.025</v>
      </c>
      <c r="AF172" s="45">
        <f t="shared" si="220"/>
      </c>
      <c r="AG172" s="77">
        <f t="shared" si="220"/>
      </c>
      <c r="AH172" s="163"/>
      <c r="AI172" s="173"/>
      <c r="AJ172" s="174"/>
      <c r="AK172" s="167"/>
      <c r="AL172" s="168"/>
      <c r="AM172" s="159"/>
      <c r="AN172" s="161"/>
      <c r="AQ172" s="61" t="s">
        <v>306</v>
      </c>
      <c r="BC172">
        <v>7</v>
      </c>
      <c r="CG172">
        <v>83.3</v>
      </c>
      <c r="CI172">
        <v>30</v>
      </c>
      <c r="CJ172">
        <v>20.3</v>
      </c>
      <c r="CL172">
        <v>52.5</v>
      </c>
      <c r="DE172" s="61">
        <v>150</v>
      </c>
    </row>
    <row r="173" spans="1:109" ht="30.75" customHeight="1">
      <c r="A173" s="196" t="s">
        <v>153</v>
      </c>
      <c r="B173" s="196"/>
      <c r="C173" s="196"/>
      <c r="D173" s="196"/>
      <c r="E173" s="197"/>
      <c r="F173" s="82" t="s">
        <v>197</v>
      </c>
      <c r="G173" s="90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0</v>
      </c>
      <c r="M173" s="28">
        <f>VLOOKUP(завтрак7,таб,70,FALSE)</f>
        <v>0</v>
      </c>
      <c r="N173" s="71">
        <f>VLOOKUP(завтрак8,таб,70,FALSE)</f>
        <v>0</v>
      </c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>
        <f>VLOOKUP(обед4,таб,70,FALSE)</f>
        <v>0</v>
      </c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79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>
        <f>VLOOKUP(ужин3,таб,70,FALSE)</f>
        <v>0</v>
      </c>
      <c r="AC173" s="34">
        <f>VLOOKUP(ужин4,таб,70,FALSE)</f>
        <v>0</v>
      </c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79">
        <f>VLOOKUP(ужин8,таб,70,FALSE)</f>
        <v>0</v>
      </c>
      <c r="AH173" s="162"/>
      <c r="AI173" s="173">
        <f>AK173/сред</f>
        <v>0</v>
      </c>
      <c r="AJ173" s="174"/>
      <c r="AK173" s="165">
        <f>SUM(G174:AG174)</f>
        <v>0</v>
      </c>
      <c r="AL173" s="166"/>
      <c r="AM173" s="158">
        <f>IF(AK173=0,0,DH117)</f>
        <v>0</v>
      </c>
      <c r="AN173" s="160">
        <f>AK173*AM173</f>
        <v>0</v>
      </c>
      <c r="AQ173" s="61" t="s">
        <v>308</v>
      </c>
      <c r="BC173">
        <v>2</v>
      </c>
      <c r="CJ173">
        <v>66</v>
      </c>
      <c r="CO173">
        <v>66</v>
      </c>
      <c r="DE173" s="61">
        <v>90</v>
      </c>
    </row>
    <row r="174" spans="1:109" ht="30.75" customHeight="1">
      <c r="A174" s="196"/>
      <c r="B174" s="196"/>
      <c r="C174" s="196"/>
      <c r="D174" s="196"/>
      <c r="E174" s="197"/>
      <c r="F174" s="83" t="s">
        <v>198</v>
      </c>
      <c r="G174" s="91">
        <f aca="true" t="shared" si="221" ref="G174:N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</c>
      <c r="M174" s="46">
        <f t="shared" si="221"/>
      </c>
      <c r="N174" s="72">
        <f t="shared" si="221"/>
      </c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>
        <f t="shared" si="222"/>
      </c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72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>
        <f t="shared" si="223"/>
      </c>
      <c r="AC174" s="47">
        <f t="shared" si="223"/>
      </c>
      <c r="AD174" s="46">
        <f t="shared" si="223"/>
      </c>
      <c r="AE174" s="47">
        <f t="shared" si="223"/>
      </c>
      <c r="AF174" s="46">
        <f t="shared" si="223"/>
      </c>
      <c r="AG174" s="72">
        <f t="shared" si="223"/>
      </c>
      <c r="AH174" s="163"/>
      <c r="AI174" s="173"/>
      <c r="AJ174" s="174"/>
      <c r="AK174" s="167"/>
      <c r="AL174" s="168"/>
      <c r="AM174" s="159"/>
      <c r="AN174" s="161"/>
      <c r="AQ174" s="61" t="s">
        <v>307</v>
      </c>
      <c r="AT174">
        <v>115</v>
      </c>
      <c r="AZ174">
        <v>8</v>
      </c>
      <c r="BC174">
        <v>2</v>
      </c>
      <c r="BG174">
        <v>3</v>
      </c>
      <c r="BR174">
        <v>15</v>
      </c>
      <c r="CH174">
        <v>179</v>
      </c>
      <c r="CI174">
        <v>14</v>
      </c>
      <c r="CJ174">
        <v>15</v>
      </c>
      <c r="CM174">
        <v>5</v>
      </c>
      <c r="DE174" s="61">
        <v>250</v>
      </c>
    </row>
    <row r="175" spans="1:109" ht="30.75" customHeight="1">
      <c r="A175" s="259" t="s">
        <v>154</v>
      </c>
      <c r="B175" s="259"/>
      <c r="C175" s="259"/>
      <c r="D175" s="259"/>
      <c r="E175" s="260"/>
      <c r="F175" s="82" t="s">
        <v>197</v>
      </c>
      <c r="G175" s="93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>
        <f>VLOOKUP(завтрак7,таб,71,FALSE)</f>
        <v>0</v>
      </c>
      <c r="N175" s="71">
        <f>VLOOKUP(завтрак8,таб,71,FALSE)</f>
        <v>0</v>
      </c>
      <c r="O175" s="39">
        <f>VLOOKUP(обед1,таб,71,FALSE)</f>
        <v>0</v>
      </c>
      <c r="P175" s="38">
        <f>VLOOKUP(обед2,таб,71,FALSE)</f>
        <v>0</v>
      </c>
      <c r="Q175" s="37">
        <f>VLOOKUP(обед3,таб,71,FALSE)</f>
        <v>0</v>
      </c>
      <c r="R175" s="38">
        <f>VLOOKUP(обед4,таб,71,FALSE)</f>
        <v>0</v>
      </c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>
        <f>VLOOKUP(полдник1,таб,71,FALSE)</f>
        <v>4</v>
      </c>
      <c r="X175" s="38">
        <f>VLOOKUP(полдник2,таб,71,FALSE)</f>
        <v>0</v>
      </c>
      <c r="Y175" s="80">
        <f>VLOOKUP(полдник3,таб,71,FALSE)</f>
        <v>0</v>
      </c>
      <c r="Z175" s="39">
        <f>VLOOKUP(ужин1,таб,71,FALSE)</f>
        <v>0</v>
      </c>
      <c r="AA175" s="37">
        <f>VLOOKUP(ужин2,таб,71,FALSE)</f>
        <v>0</v>
      </c>
      <c r="AB175" s="38">
        <f>VLOOKUP(ужин3,таб,71,FALSE)</f>
        <v>0</v>
      </c>
      <c r="AC175" s="37">
        <f>VLOOKUP(ужин4,таб,71,FALSE)</f>
        <v>0</v>
      </c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80">
        <f>VLOOKUP(ужин8,таб,71,FALSE)</f>
        <v>0</v>
      </c>
      <c r="AH175" s="162"/>
      <c r="AI175" s="173">
        <f>AK175/сред</f>
        <v>0.004</v>
      </c>
      <c r="AJ175" s="174"/>
      <c r="AK175" s="165">
        <f>SUM(G176:AG176)</f>
        <v>0.1</v>
      </c>
      <c r="AL175" s="166"/>
      <c r="AM175" s="158">
        <f>IF(AK175=0,0,DI117)</f>
        <v>39</v>
      </c>
      <c r="AN175" s="160">
        <f>AK175*AM175</f>
        <v>3.9000000000000004</v>
      </c>
      <c r="AQ175" s="61" t="s">
        <v>309</v>
      </c>
      <c r="AZ175">
        <v>5</v>
      </c>
      <c r="BC175">
        <v>3</v>
      </c>
      <c r="BG175">
        <v>8</v>
      </c>
      <c r="BR175">
        <v>14</v>
      </c>
      <c r="CG175">
        <v>99</v>
      </c>
      <c r="CI175">
        <v>20</v>
      </c>
      <c r="CJ175">
        <v>21</v>
      </c>
      <c r="CM175">
        <v>2</v>
      </c>
      <c r="DE175" s="61">
        <v>350</v>
      </c>
    </row>
    <row r="176" spans="1:109" ht="30.75" customHeight="1">
      <c r="A176" s="261"/>
      <c r="B176" s="261"/>
      <c r="C176" s="261"/>
      <c r="D176" s="261"/>
      <c r="E176" s="262"/>
      <c r="F176" s="83" t="s">
        <v>198</v>
      </c>
      <c r="G176" s="91">
        <f aca="true" t="shared" si="224" ref="G176:N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>
        <f t="shared" si="224"/>
      </c>
      <c r="N176" s="72">
        <f t="shared" si="224"/>
      </c>
      <c r="O176" s="48">
        <f aca="true" t="shared" si="225" ref="O176:V176">IF(O175=0,"",обідл*O175/1000)</f>
      </c>
      <c r="P176" s="46">
        <f t="shared" si="225"/>
      </c>
      <c r="Q176" s="47">
        <f t="shared" si="225"/>
      </c>
      <c r="R176" s="46">
        <f t="shared" si="225"/>
      </c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  <v>0.1</v>
      </c>
      <c r="X176" s="46">
        <f>IF(X175=0,"",полдникл*X175/1000)</f>
      </c>
      <c r="Y176" s="72">
        <f>IF(Y175=0,"",полдникл*Y175/1000)</f>
      </c>
      <c r="Z176" s="48">
        <f aca="true" t="shared" si="226" ref="Z176:AG176">IF(Z175=0,"",ужинл*Z175/1000)</f>
      </c>
      <c r="AA176" s="47">
        <f t="shared" si="226"/>
      </c>
      <c r="AB176" s="46">
        <f t="shared" si="226"/>
      </c>
      <c r="AC176" s="47">
        <f t="shared" si="226"/>
      </c>
      <c r="AD176" s="46">
        <f t="shared" si="226"/>
      </c>
      <c r="AE176" s="47">
        <f t="shared" si="226"/>
      </c>
      <c r="AF176" s="46">
        <f t="shared" si="226"/>
      </c>
      <c r="AG176" s="72">
        <f t="shared" si="226"/>
      </c>
      <c r="AH176" s="163"/>
      <c r="AI176" s="173"/>
      <c r="AJ176" s="174"/>
      <c r="AK176" s="167"/>
      <c r="AL176" s="168"/>
      <c r="AM176" s="159"/>
      <c r="AN176" s="161"/>
      <c r="AQ176" s="61" t="s">
        <v>310</v>
      </c>
      <c r="BC176">
        <v>5</v>
      </c>
      <c r="CI176">
        <v>18</v>
      </c>
      <c r="CL176">
        <v>101</v>
      </c>
      <c r="DE176" s="61">
        <v>100</v>
      </c>
    </row>
    <row r="177" spans="1:109" ht="30.75" customHeight="1">
      <c r="A177" s="259" t="s">
        <v>312</v>
      </c>
      <c r="B177" s="259"/>
      <c r="C177" s="259"/>
      <c r="D177" s="259"/>
      <c r="E177" s="260"/>
      <c r="F177" s="82" t="s">
        <v>197</v>
      </c>
      <c r="G177" s="90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>
        <f>VLOOKUP(завтрак7,таб,66,FALSE)</f>
        <v>0</v>
      </c>
      <c r="N177" s="71">
        <f>VLOOKUP(завтрак8,таб,66,FALSE)</f>
        <v>0</v>
      </c>
      <c r="O177" s="36">
        <f>VLOOKUP(обед1,таб,66,FALSE)</f>
        <v>0</v>
      </c>
      <c r="P177" s="35">
        <f>VLOOKUP(обед2,таб,66,FALSE)</f>
        <v>0</v>
      </c>
      <c r="Q177" s="34">
        <f>VLOOKUP(обед3,таб,66,FALSE)</f>
        <v>0</v>
      </c>
      <c r="R177" s="35">
        <f>VLOOKUP(обед4,таб,66,FALSE)</f>
        <v>0</v>
      </c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79">
        <f>VLOOKUP(полдник3,таб,66,FALSE)</f>
        <v>0</v>
      </c>
      <c r="Z177" s="36">
        <f>VLOOKUP(ужин1,таб,66,FALSE)</f>
        <v>0</v>
      </c>
      <c r="AA177" s="34">
        <f>VLOOKUP(ужин2,таб,66,FALSE)</f>
        <v>0</v>
      </c>
      <c r="AB177" s="35">
        <f>VLOOKUP(ужин3,таб,66,FALSE)</f>
        <v>0</v>
      </c>
      <c r="AC177" s="34">
        <f>VLOOKUP(ужин4,таб,66,FALSE)</f>
        <v>0</v>
      </c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79">
        <f>VLOOKUP(ужин8,таб,66,FALSE)</f>
        <v>0</v>
      </c>
      <c r="AH177" s="162"/>
      <c r="AI177" s="173">
        <f>AK177/сред</f>
        <v>0</v>
      </c>
      <c r="AJ177" s="174"/>
      <c r="AK177" s="165">
        <f>SUM(G178:AG178)</f>
        <v>0</v>
      </c>
      <c r="AL177" s="166"/>
      <c r="AM177" s="158">
        <f>IF(AK177=0,0,AW117)</f>
        <v>0</v>
      </c>
      <c r="AN177" s="160">
        <f>AK177*AM177</f>
        <v>0</v>
      </c>
      <c r="AQ177" s="61" t="s">
        <v>312</v>
      </c>
      <c r="AW177">
        <v>42</v>
      </c>
      <c r="DE177" s="61">
        <v>42</v>
      </c>
    </row>
    <row r="178" spans="1:128" ht="30.75" customHeight="1">
      <c r="A178" s="259"/>
      <c r="B178" s="259"/>
      <c r="C178" s="259"/>
      <c r="D178" s="259"/>
      <c r="E178" s="260"/>
      <c r="F178" s="83" t="s">
        <v>198</v>
      </c>
      <c r="G178" s="91">
        <f aca="true" t="shared" si="227" ref="G178:N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>
        <f t="shared" si="227"/>
      </c>
      <c r="N178" s="72">
        <f t="shared" si="227"/>
      </c>
      <c r="O178" s="48">
        <f aca="true" t="shared" si="228" ref="O178:V178">IF(O177=0,"",обідл*O177/1000)</f>
      </c>
      <c r="P178" s="46">
        <f t="shared" si="228"/>
      </c>
      <c r="Q178" s="47">
        <f t="shared" si="228"/>
      </c>
      <c r="R178" s="46">
        <f t="shared" si="228"/>
      </c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72">
        <f>IF(Y177=0,"",полдникл*Y177/1000)</f>
      </c>
      <c r="Z178" s="48">
        <f aca="true" t="shared" si="229" ref="Z178:AG178">IF(Z177=0,"",ужинл*Z177/1000)</f>
      </c>
      <c r="AA178" s="47">
        <f t="shared" si="229"/>
      </c>
      <c r="AB178" s="46">
        <f t="shared" si="229"/>
      </c>
      <c r="AC178" s="47">
        <f t="shared" si="229"/>
      </c>
      <c r="AD178" s="46">
        <f t="shared" si="229"/>
      </c>
      <c r="AE178" s="47">
        <f t="shared" si="229"/>
      </c>
      <c r="AF178" s="46">
        <f t="shared" si="229"/>
      </c>
      <c r="AG178" s="72">
        <f t="shared" si="229"/>
      </c>
      <c r="AH178" s="163"/>
      <c r="AI178" s="173"/>
      <c r="AJ178" s="174"/>
      <c r="AK178" s="167"/>
      <c r="AL178" s="168"/>
      <c r="AM178" s="159"/>
      <c r="AN178" s="161"/>
      <c r="AQ178" s="61" t="s">
        <v>255</v>
      </c>
      <c r="DE178" s="61">
        <v>2</v>
      </c>
      <c r="DX178">
        <v>2</v>
      </c>
    </row>
    <row r="179" spans="1:121" ht="30.75" customHeight="1">
      <c r="A179" s="319" t="s">
        <v>314</v>
      </c>
      <c r="B179" s="320"/>
      <c r="C179" s="320"/>
      <c r="D179" s="320"/>
      <c r="E179" s="321"/>
      <c r="F179" s="85" t="s">
        <v>197</v>
      </c>
      <c r="G179" s="90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>
        <f>VLOOKUP(завтрак7,таб,79,FALSE)</f>
        <v>0</v>
      </c>
      <c r="N179" s="71">
        <f>VLOOKUP(завтрак8,таб,79,FALSE)</f>
        <v>0</v>
      </c>
      <c r="O179" s="36">
        <f>VLOOKUP(обед1,таб,79,FALSE)</f>
        <v>0</v>
      </c>
      <c r="P179" s="35">
        <f>VLOOKUP(обед2,таб,79,FALSE)</f>
        <v>0</v>
      </c>
      <c r="Q179" s="35">
        <f>VLOOKUP(обед3,таб,79,FALSE)</f>
        <v>0</v>
      </c>
      <c r="R179" s="35">
        <f>VLOOKUP(обед4,таб,79,FALSE)</f>
        <v>0</v>
      </c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79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>
        <f>VLOOKUP(ужин3,таб,79,FALSE)</f>
        <v>0</v>
      </c>
      <c r="AC179" s="35">
        <f>VLOOKUP(ужин4,таб,79,FALSE)</f>
        <v>0</v>
      </c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79">
        <f>VLOOKUP(ужин8,таб,79,FALSE)</f>
        <v>0</v>
      </c>
      <c r="AH179" s="162"/>
      <c r="AI179" s="173">
        <f>AK179/сред</f>
        <v>0</v>
      </c>
      <c r="AJ179" s="174"/>
      <c r="AK179" s="165">
        <f>SUM(G180:AG180)</f>
        <v>0</v>
      </c>
      <c r="AL179" s="166"/>
      <c r="AM179" s="158">
        <f>IF(AK179=0,0,DQ117)</f>
        <v>0</v>
      </c>
      <c r="AN179" s="160">
        <f>AK179*AM179</f>
        <v>0</v>
      </c>
      <c r="AQ179" s="61" t="s">
        <v>313</v>
      </c>
      <c r="AZ179">
        <v>7</v>
      </c>
      <c r="BC179">
        <v>7</v>
      </c>
      <c r="CG179">
        <v>93</v>
      </c>
      <c r="CI179">
        <v>19</v>
      </c>
      <c r="CJ179">
        <v>19</v>
      </c>
      <c r="DE179" s="61">
        <v>350</v>
      </c>
      <c r="DQ179">
        <v>28</v>
      </c>
    </row>
    <row r="180" spans="1:109" ht="30.75" customHeight="1">
      <c r="A180" s="322"/>
      <c r="B180" s="323"/>
      <c r="C180" s="323"/>
      <c r="D180" s="323"/>
      <c r="E180" s="324"/>
      <c r="F180" s="86" t="s">
        <v>198</v>
      </c>
      <c r="G180" s="91">
        <f aca="true" t="shared" si="230" ref="G180:N180">IF(G179=0,"",завтракл*G179/1000)</f>
      </c>
      <c r="H180" s="45">
        <f t="shared" si="230"/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>
        <f t="shared" si="230"/>
      </c>
      <c r="N180" s="72">
        <f t="shared" si="230"/>
      </c>
      <c r="O180" s="48">
        <f aca="true" t="shared" si="231" ref="O180:V180">IF(O179=0,"",обідл*O179/1000)</f>
      </c>
      <c r="P180" s="46">
        <f t="shared" si="231"/>
      </c>
      <c r="Q180" s="46">
        <f t="shared" si="231"/>
      </c>
      <c r="R180" s="46">
        <f t="shared" si="231"/>
      </c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72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>
        <f t="shared" si="232"/>
      </c>
      <c r="AC180" s="46">
        <f t="shared" si="232"/>
      </c>
      <c r="AD180" s="46">
        <f t="shared" si="232"/>
      </c>
      <c r="AE180" s="46">
        <f t="shared" si="232"/>
      </c>
      <c r="AF180" s="46">
        <f t="shared" si="232"/>
      </c>
      <c r="AG180" s="72">
        <f t="shared" si="232"/>
      </c>
      <c r="AH180" s="163"/>
      <c r="AI180" s="173"/>
      <c r="AJ180" s="174"/>
      <c r="AK180" s="167"/>
      <c r="AL180" s="168"/>
      <c r="AM180" s="159"/>
      <c r="AN180" s="161"/>
      <c r="AQ180" s="61" t="s">
        <v>315</v>
      </c>
      <c r="AZ180">
        <v>7</v>
      </c>
      <c r="BD180">
        <v>32</v>
      </c>
      <c r="CG180">
        <v>240</v>
      </c>
      <c r="DE180" s="108" t="s">
        <v>295</v>
      </c>
    </row>
    <row r="181" spans="1:113" ht="30.75" customHeight="1">
      <c r="A181" s="272" t="s">
        <v>353</v>
      </c>
      <c r="B181" s="272"/>
      <c r="C181" s="272"/>
      <c r="D181" s="272"/>
      <c r="E181" s="272"/>
      <c r="F181" s="272"/>
      <c r="G181" s="272"/>
      <c r="H181" s="272"/>
      <c r="I181" s="272"/>
      <c r="J181" s="272"/>
      <c r="K181" s="272"/>
      <c r="L181" s="272"/>
      <c r="M181" s="272"/>
      <c r="N181" s="272"/>
      <c r="O181" s="272"/>
      <c r="P181" s="272"/>
      <c r="Q181" s="272"/>
      <c r="R181" s="272"/>
      <c r="S181" s="272"/>
      <c r="T181" s="272"/>
      <c r="U181" s="272"/>
      <c r="V181" s="272"/>
      <c r="W181" s="317" t="s">
        <v>209</v>
      </c>
      <c r="X181" s="318"/>
      <c r="Y181" s="318"/>
      <c r="Z181" s="318"/>
      <c r="AA181" s="318"/>
      <c r="AB181" s="318"/>
      <c r="AC181" s="318"/>
      <c r="AD181" s="318"/>
      <c r="AE181" s="318"/>
      <c r="AF181" s="318"/>
      <c r="AG181" s="318"/>
      <c r="AH181" s="60" t="s">
        <v>283</v>
      </c>
      <c r="AI181" s="60"/>
      <c r="AJ181" s="60"/>
      <c r="AK181" s="60"/>
      <c r="AL181" s="60"/>
      <c r="AM181" s="157">
        <f>SUM(AN25:AN178)</f>
        <v>2356.2203499999996</v>
      </c>
      <c r="AN181" s="157"/>
      <c r="AQ181" s="61" t="s">
        <v>318</v>
      </c>
      <c r="AX181">
        <v>116</v>
      </c>
      <c r="BJ181">
        <v>0.2</v>
      </c>
      <c r="BL181">
        <v>2.5</v>
      </c>
      <c r="DE181" s="61">
        <v>100</v>
      </c>
      <c r="DI181">
        <v>3</v>
      </c>
    </row>
    <row r="182" spans="1:109" ht="12.75" customHeight="1">
      <c r="A182" s="55"/>
      <c r="B182" s="55"/>
      <c r="C182" s="55"/>
      <c r="D182" s="55"/>
      <c r="E182" s="55"/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  <c r="AQ182" s="61" t="s">
        <v>319</v>
      </c>
      <c r="BC182">
        <v>10</v>
      </c>
      <c r="CG182">
        <v>343.6</v>
      </c>
      <c r="DC182">
        <v>0.2</v>
      </c>
      <c r="DE182" s="61">
        <v>200</v>
      </c>
    </row>
    <row r="183" spans="1:109" ht="12.75" customHeight="1">
      <c r="A183" s="263" t="s">
        <v>210</v>
      </c>
      <c r="B183" s="264"/>
      <c r="C183" s="264"/>
      <c r="D183" s="265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  <c r="AQ183" s="61" t="s">
        <v>320</v>
      </c>
      <c r="BM183">
        <v>1</v>
      </c>
      <c r="BW183">
        <v>3.4</v>
      </c>
      <c r="CU183">
        <v>0.8</v>
      </c>
      <c r="DE183" s="61">
        <v>30</v>
      </c>
    </row>
    <row r="184" spans="1:109" ht="12.75" customHeight="1">
      <c r="A184" s="266"/>
      <c r="B184" s="267"/>
      <c r="C184" s="267"/>
      <c r="D184" s="268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  <c r="AQ184" s="61" t="s">
        <v>321</v>
      </c>
      <c r="BW184">
        <v>20</v>
      </c>
      <c r="CU184">
        <v>2.4</v>
      </c>
      <c r="DE184" s="61">
        <v>200</v>
      </c>
    </row>
    <row r="185" spans="1:109" ht="12.75" customHeight="1">
      <c r="A185" s="266"/>
      <c r="B185" s="267"/>
      <c r="C185" s="267"/>
      <c r="D185" s="268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  <c r="AQ185" s="61" t="s">
        <v>322</v>
      </c>
      <c r="BC185">
        <v>2.5</v>
      </c>
      <c r="CO185">
        <v>54.4</v>
      </c>
      <c r="CQ185">
        <v>10.2</v>
      </c>
      <c r="DE185" s="61">
        <v>50</v>
      </c>
    </row>
    <row r="186" spans="1:109" ht="12.75" customHeight="1">
      <c r="A186" s="266"/>
      <c r="B186" s="267"/>
      <c r="C186" s="267"/>
      <c r="D186" s="268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  <c r="AQ186" s="61" t="s">
        <v>323</v>
      </c>
      <c r="AZ186">
        <v>4</v>
      </c>
      <c r="BD186">
        <v>19</v>
      </c>
      <c r="BJ186">
        <v>0.08</v>
      </c>
      <c r="BL186">
        <v>50</v>
      </c>
      <c r="BW186">
        <v>6</v>
      </c>
      <c r="BY186">
        <v>13</v>
      </c>
      <c r="CZ186">
        <v>1</v>
      </c>
      <c r="DE186" s="61">
        <v>100</v>
      </c>
    </row>
    <row r="187" spans="1:109" ht="12.75" customHeight="1">
      <c r="A187" s="266"/>
      <c r="B187" s="267"/>
      <c r="C187" s="267"/>
      <c r="D187" s="268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  <c r="AQ187" s="61" t="s">
        <v>324</v>
      </c>
      <c r="AZ187">
        <v>2.21</v>
      </c>
      <c r="BD187">
        <v>123.5</v>
      </c>
      <c r="BL187">
        <v>6.11</v>
      </c>
      <c r="CG187">
        <v>234.7</v>
      </c>
      <c r="DE187" s="61">
        <v>200</v>
      </c>
    </row>
    <row r="188" spans="1:113" ht="12.75" customHeight="1">
      <c r="A188" s="266"/>
      <c r="B188" s="267"/>
      <c r="C188" s="267"/>
      <c r="D188" s="268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  <c r="AQ188" s="61" t="s">
        <v>325</v>
      </c>
      <c r="AT188">
        <v>66</v>
      </c>
      <c r="BJ188">
        <v>0.1</v>
      </c>
      <c r="BL188">
        <v>7.5</v>
      </c>
      <c r="CQ188">
        <v>15</v>
      </c>
      <c r="DE188" s="61">
        <v>75</v>
      </c>
      <c r="DI188">
        <v>7.5</v>
      </c>
    </row>
    <row r="189" spans="1:109" ht="12.75" customHeight="1">
      <c r="A189" s="266"/>
      <c r="B189" s="267"/>
      <c r="C189" s="267"/>
      <c r="D189" s="268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  <c r="AQ189" s="61" t="s">
        <v>326</v>
      </c>
      <c r="AZ189">
        <v>4</v>
      </c>
      <c r="BD189">
        <v>62</v>
      </c>
      <c r="BT189">
        <v>46.9</v>
      </c>
      <c r="DE189" s="61">
        <v>200</v>
      </c>
    </row>
    <row r="190" spans="1:109" ht="12.75" customHeight="1">
      <c r="A190" s="266"/>
      <c r="B190" s="267"/>
      <c r="C190" s="267"/>
      <c r="D190" s="268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  <c r="AQ190" s="61" t="s">
        <v>329</v>
      </c>
      <c r="AT190">
        <v>33</v>
      </c>
      <c r="AZ190">
        <v>5</v>
      </c>
      <c r="BN190">
        <v>59</v>
      </c>
      <c r="CK190">
        <v>82</v>
      </c>
      <c r="DE190" s="61">
        <v>250</v>
      </c>
    </row>
    <row r="191" spans="1:109" ht="12.75" customHeight="1">
      <c r="A191" s="266"/>
      <c r="B191" s="267"/>
      <c r="C191" s="267"/>
      <c r="D191" s="268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  <c r="AQ191" s="61" t="s">
        <v>333</v>
      </c>
      <c r="AZ191">
        <v>10.9</v>
      </c>
      <c r="BD191">
        <v>110</v>
      </c>
      <c r="BI191">
        <v>27.8</v>
      </c>
      <c r="BL191">
        <v>11</v>
      </c>
      <c r="BS191">
        <v>23.3</v>
      </c>
      <c r="DE191" s="61">
        <v>200</v>
      </c>
    </row>
    <row r="192" spans="1:113" ht="12.75" customHeight="1">
      <c r="A192" s="266"/>
      <c r="B192" s="267"/>
      <c r="C192" s="267"/>
      <c r="D192" s="268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  <c r="AQ192" s="61" t="s">
        <v>334</v>
      </c>
      <c r="AT192">
        <v>139</v>
      </c>
      <c r="BJ192">
        <v>0.1</v>
      </c>
      <c r="BL192">
        <v>10.2</v>
      </c>
      <c r="DE192" s="61">
        <v>100</v>
      </c>
      <c r="DI192">
        <v>12</v>
      </c>
    </row>
    <row r="193" spans="1:113" ht="12.75" customHeight="1">
      <c r="A193" s="266"/>
      <c r="B193" s="267"/>
      <c r="C193" s="267"/>
      <c r="D193" s="268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  <c r="AQ193" s="61" t="s">
        <v>335</v>
      </c>
      <c r="AT193">
        <v>139</v>
      </c>
      <c r="BJ193">
        <v>0.1</v>
      </c>
      <c r="BL193">
        <v>10.2</v>
      </c>
      <c r="DE193" s="61">
        <v>100</v>
      </c>
      <c r="DI193">
        <v>18</v>
      </c>
    </row>
    <row r="194" spans="1:121" ht="12.75" customHeight="1">
      <c r="A194" s="266"/>
      <c r="B194" s="267"/>
      <c r="C194" s="267"/>
      <c r="D194" s="268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  <c r="AQ194" s="61" t="s">
        <v>336</v>
      </c>
      <c r="BC194">
        <v>3.5</v>
      </c>
      <c r="CG194">
        <v>103</v>
      </c>
      <c r="CH194">
        <v>35</v>
      </c>
      <c r="CI194">
        <v>16.8</v>
      </c>
      <c r="CJ194">
        <v>17.9</v>
      </c>
      <c r="DE194" s="61">
        <v>350</v>
      </c>
      <c r="DQ194">
        <v>11.6</v>
      </c>
    </row>
    <row r="195" spans="1:109" ht="12.75" customHeight="1">
      <c r="A195" s="266"/>
      <c r="B195" s="267"/>
      <c r="C195" s="267"/>
      <c r="D195" s="268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  <c r="AQ195" s="61" t="s">
        <v>357</v>
      </c>
      <c r="AZ195">
        <v>7</v>
      </c>
      <c r="BR195">
        <v>28</v>
      </c>
      <c r="CG195">
        <v>18.6</v>
      </c>
      <c r="CI195">
        <v>16.8</v>
      </c>
      <c r="CM195">
        <v>10.5</v>
      </c>
      <c r="DE195" s="61">
        <v>350</v>
      </c>
    </row>
    <row r="196" spans="1:115" ht="12.75" customHeight="1">
      <c r="A196" s="266"/>
      <c r="B196" s="267"/>
      <c r="C196" s="267"/>
      <c r="D196" s="268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  <c r="AQ196" s="61" t="s">
        <v>339</v>
      </c>
      <c r="BC196">
        <v>4.5</v>
      </c>
      <c r="CO196">
        <v>54.7</v>
      </c>
      <c r="CQ196">
        <v>4</v>
      </c>
      <c r="DE196" s="61">
        <v>100</v>
      </c>
      <c r="DK196">
        <v>23.5</v>
      </c>
    </row>
    <row r="197" spans="1:109" ht="12.75" customHeight="1">
      <c r="A197" s="266"/>
      <c r="B197" s="267"/>
      <c r="C197" s="267"/>
      <c r="D197" s="268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  <c r="AQ197" s="61" t="s">
        <v>340</v>
      </c>
      <c r="BC197">
        <v>5</v>
      </c>
      <c r="CH197">
        <v>112.5</v>
      </c>
      <c r="CS197">
        <v>1</v>
      </c>
      <c r="DE197" s="61">
        <v>100</v>
      </c>
    </row>
    <row r="198" spans="1:109" ht="12.75" customHeight="1">
      <c r="A198" s="266"/>
      <c r="B198" s="267"/>
      <c r="C198" s="267"/>
      <c r="D198" s="268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  <c r="AQ198" s="61" t="s">
        <v>341</v>
      </c>
      <c r="BC198">
        <v>5</v>
      </c>
      <c r="CF198">
        <v>30</v>
      </c>
      <c r="CK198">
        <v>43</v>
      </c>
      <c r="CO198">
        <v>54</v>
      </c>
      <c r="DE198" s="61">
        <v>100</v>
      </c>
    </row>
    <row r="199" spans="1:115" ht="12.75" customHeight="1">
      <c r="A199" s="266"/>
      <c r="B199" s="267"/>
      <c r="C199" s="267"/>
      <c r="D199" s="268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  <c r="AQ199" s="61" t="s">
        <v>342</v>
      </c>
      <c r="BC199">
        <v>3.5</v>
      </c>
      <c r="CJ199">
        <v>16.3</v>
      </c>
      <c r="CL199">
        <v>26.8</v>
      </c>
      <c r="DE199" s="61">
        <v>100</v>
      </c>
      <c r="DG199">
        <v>6.8</v>
      </c>
      <c r="DK199">
        <v>20.4</v>
      </c>
    </row>
    <row r="200" spans="1:113" ht="12.75" customHeight="1">
      <c r="A200" s="266"/>
      <c r="B200" s="267"/>
      <c r="C200" s="267"/>
      <c r="D200" s="268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  <c r="AQ200" s="61" t="s">
        <v>343</v>
      </c>
      <c r="BC200">
        <v>4</v>
      </c>
      <c r="BG200">
        <v>4</v>
      </c>
      <c r="BJ200">
        <v>0.1</v>
      </c>
      <c r="BQ200">
        <v>54.7</v>
      </c>
      <c r="BW200">
        <v>8</v>
      </c>
      <c r="CT200">
        <v>80</v>
      </c>
      <c r="DE200" s="61">
        <v>200</v>
      </c>
      <c r="DI200">
        <v>4</v>
      </c>
    </row>
    <row r="201" spans="1:117" ht="12.75" customHeight="1">
      <c r="A201" s="266"/>
      <c r="B201" s="267"/>
      <c r="C201" s="267"/>
      <c r="D201" s="268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  <c r="AQ201" s="61" t="s">
        <v>346</v>
      </c>
      <c r="AZ201">
        <v>7</v>
      </c>
      <c r="BR201">
        <v>40</v>
      </c>
      <c r="BW201">
        <v>7</v>
      </c>
      <c r="CC201">
        <v>10</v>
      </c>
      <c r="CF201">
        <v>36</v>
      </c>
      <c r="DE201" s="61">
        <v>200</v>
      </c>
      <c r="DM201">
        <v>15</v>
      </c>
    </row>
    <row r="202" spans="1:109" ht="12.75" customHeight="1">
      <c r="A202" s="266"/>
      <c r="B202" s="267"/>
      <c r="C202" s="267"/>
      <c r="D202" s="268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  <c r="AQ202" s="61" t="s">
        <v>350</v>
      </c>
      <c r="AZ202">
        <v>6</v>
      </c>
      <c r="BD202">
        <v>30</v>
      </c>
      <c r="BJ202">
        <v>0.2</v>
      </c>
      <c r="DE202" s="61">
        <v>116</v>
      </c>
    </row>
    <row r="203" spans="1:109" ht="12.75" customHeight="1">
      <c r="A203" s="266"/>
      <c r="B203" s="267"/>
      <c r="C203" s="267"/>
      <c r="D203" s="268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  <c r="AQ203" s="61" t="s">
        <v>351</v>
      </c>
      <c r="AZ203">
        <v>10</v>
      </c>
      <c r="BI203">
        <v>15</v>
      </c>
      <c r="BJ203">
        <v>0.2</v>
      </c>
      <c r="DE203" s="61">
        <v>90</v>
      </c>
    </row>
    <row r="204" spans="1:109" ht="12.75" customHeight="1">
      <c r="A204" s="266"/>
      <c r="B204" s="267"/>
      <c r="C204" s="267"/>
      <c r="D204" s="268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  <c r="AQ204" s="61" t="s">
        <v>352</v>
      </c>
      <c r="BC204">
        <v>10</v>
      </c>
      <c r="BL204">
        <v>57</v>
      </c>
      <c r="BW204">
        <v>10</v>
      </c>
      <c r="CF204">
        <v>21</v>
      </c>
      <c r="CZ204">
        <v>1</v>
      </c>
      <c r="DE204" s="61">
        <v>150</v>
      </c>
    </row>
    <row r="205" spans="1:109" ht="12.75" customHeight="1">
      <c r="A205" s="266"/>
      <c r="B205" s="267"/>
      <c r="C205" s="267"/>
      <c r="D205" s="268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  <c r="AQ205" s="61" t="s">
        <v>355</v>
      </c>
      <c r="AZ205">
        <v>3.5</v>
      </c>
      <c r="BC205">
        <v>3.5</v>
      </c>
      <c r="BS205">
        <v>14</v>
      </c>
      <c r="CG205">
        <v>140</v>
      </c>
      <c r="CI205">
        <v>17.5</v>
      </c>
      <c r="CJ205">
        <v>17.5</v>
      </c>
      <c r="DE205" s="61">
        <v>350</v>
      </c>
    </row>
    <row r="206" spans="1:109" ht="12.75" customHeight="1">
      <c r="A206" s="266"/>
      <c r="B206" s="267"/>
      <c r="C206" s="267"/>
      <c r="D206" s="268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  <c r="AQ206" s="61" t="s">
        <v>356</v>
      </c>
      <c r="AZ206">
        <v>3.5</v>
      </c>
      <c r="BC206">
        <v>3.5</v>
      </c>
      <c r="BN206">
        <v>14</v>
      </c>
      <c r="CG206">
        <v>140</v>
      </c>
      <c r="CI206">
        <v>17.5</v>
      </c>
      <c r="CJ206">
        <v>17.5</v>
      </c>
      <c r="DE206" s="61">
        <v>350</v>
      </c>
    </row>
    <row r="207" spans="1:35" ht="12.75" customHeight="1">
      <c r="A207" s="266"/>
      <c r="B207" s="267"/>
      <c r="C207" s="267"/>
      <c r="D207" s="268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66"/>
      <c r="B208" s="267"/>
      <c r="C208" s="267"/>
      <c r="D208" s="268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66"/>
      <c r="B209" s="267"/>
      <c r="C209" s="267"/>
      <c r="D209" s="268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66"/>
      <c r="B210" s="267"/>
      <c r="C210" s="267"/>
      <c r="D210" s="268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66"/>
      <c r="B211" s="267"/>
      <c r="C211" s="267"/>
      <c r="D211" s="268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66"/>
      <c r="B212" s="267"/>
      <c r="C212" s="267"/>
      <c r="D212" s="268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66"/>
      <c r="B213" s="267"/>
      <c r="C213" s="267"/>
      <c r="D213" s="268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69"/>
      <c r="B214" s="270"/>
      <c r="C214" s="270"/>
      <c r="D214" s="271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250" t="s">
        <v>211</v>
      </c>
      <c r="B222" s="251"/>
      <c r="C222" s="251"/>
      <c r="D222" s="252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253"/>
      <c r="B223" s="254"/>
      <c r="C223" s="254"/>
      <c r="D223" s="255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253"/>
      <c r="B224" s="254"/>
      <c r="C224" s="254"/>
      <c r="D224" s="255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253"/>
      <c r="B225" s="254"/>
      <c r="C225" s="254"/>
      <c r="D225" s="255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253"/>
      <c r="B226" s="254"/>
      <c r="C226" s="254"/>
      <c r="D226" s="255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253"/>
      <c r="B227" s="254"/>
      <c r="C227" s="254"/>
      <c r="D227" s="255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253"/>
      <c r="B228" s="254"/>
      <c r="C228" s="254"/>
      <c r="D228" s="255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253"/>
      <c r="B229" s="254"/>
      <c r="C229" s="254"/>
      <c r="D229" s="255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253"/>
      <c r="B230" s="254"/>
      <c r="C230" s="254"/>
      <c r="D230" s="255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253"/>
      <c r="B231" s="254"/>
      <c r="C231" s="254"/>
      <c r="D231" s="255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253"/>
      <c r="B232" s="254"/>
      <c r="C232" s="254"/>
      <c r="D232" s="255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253"/>
      <c r="B233" s="254"/>
      <c r="C233" s="254"/>
      <c r="D233" s="255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253"/>
      <c r="B234" s="254"/>
      <c r="C234" s="254"/>
      <c r="D234" s="255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253"/>
      <c r="B235" s="254"/>
      <c r="C235" s="254"/>
      <c r="D235" s="255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253"/>
      <c r="B236" s="254"/>
      <c r="C236" s="254"/>
      <c r="D236" s="255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253"/>
      <c r="B237" s="254"/>
      <c r="C237" s="254"/>
      <c r="D237" s="255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253"/>
      <c r="B238" s="254"/>
      <c r="C238" s="254"/>
      <c r="D238" s="255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253"/>
      <c r="B239" s="254"/>
      <c r="C239" s="254"/>
      <c r="D239" s="255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253"/>
      <c r="B240" s="254"/>
      <c r="C240" s="254"/>
      <c r="D240" s="255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253"/>
      <c r="B241" s="254"/>
      <c r="C241" s="254"/>
      <c r="D241" s="255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253"/>
      <c r="B242" s="254"/>
      <c r="C242" s="254"/>
      <c r="D242" s="255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253"/>
      <c r="B243" s="254"/>
      <c r="C243" s="254"/>
      <c r="D243" s="255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253"/>
      <c r="B244" s="254"/>
      <c r="C244" s="254"/>
      <c r="D244" s="255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253"/>
      <c r="B245" s="254"/>
      <c r="C245" s="254"/>
      <c r="D245" s="255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253"/>
      <c r="B246" s="254"/>
      <c r="C246" s="254"/>
      <c r="D246" s="255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253"/>
      <c r="B247" s="254"/>
      <c r="C247" s="254"/>
      <c r="D247" s="255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253"/>
      <c r="B248" s="254"/>
      <c r="C248" s="254"/>
      <c r="D248" s="255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253"/>
      <c r="B249" s="254"/>
      <c r="C249" s="254"/>
      <c r="D249" s="255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253"/>
      <c r="B250" s="254"/>
      <c r="C250" s="254"/>
      <c r="D250" s="255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253"/>
      <c r="B251" s="254"/>
      <c r="C251" s="254"/>
      <c r="D251" s="255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253"/>
      <c r="B252" s="254"/>
      <c r="C252" s="254"/>
      <c r="D252" s="255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253"/>
      <c r="B253" s="254"/>
      <c r="C253" s="254"/>
      <c r="D253" s="255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253"/>
      <c r="B254" s="254"/>
      <c r="C254" s="254"/>
      <c r="D254" s="255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253"/>
      <c r="B255" s="254"/>
      <c r="C255" s="254"/>
      <c r="D255" s="255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253"/>
      <c r="B256" s="254"/>
      <c r="C256" s="254"/>
      <c r="D256" s="255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256"/>
      <c r="B257" s="257"/>
      <c r="C257" s="257"/>
      <c r="D257" s="258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241" t="s">
        <v>212</v>
      </c>
      <c r="B263" s="242"/>
      <c r="C263" s="242"/>
      <c r="D263" s="243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244"/>
      <c r="B264" s="245"/>
      <c r="C264" s="245"/>
      <c r="D264" s="246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244"/>
      <c r="B265" s="245"/>
      <c r="C265" s="245"/>
      <c r="D265" s="246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244"/>
      <c r="B266" s="245"/>
      <c r="C266" s="245"/>
      <c r="D266" s="246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244"/>
      <c r="B267" s="245"/>
      <c r="C267" s="245"/>
      <c r="D267" s="246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244"/>
      <c r="B268" s="245"/>
      <c r="C268" s="245"/>
      <c r="D268" s="246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244"/>
      <c r="B269" s="245"/>
      <c r="C269" s="245"/>
      <c r="D269" s="246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244"/>
      <c r="B270" s="245"/>
      <c r="C270" s="245"/>
      <c r="D270" s="246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244"/>
      <c r="B271" s="245"/>
      <c r="C271" s="245"/>
      <c r="D271" s="246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244"/>
      <c r="B272" s="245"/>
      <c r="C272" s="245"/>
      <c r="D272" s="246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244"/>
      <c r="B273" s="245"/>
      <c r="C273" s="245"/>
      <c r="D273" s="246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244"/>
      <c r="B274" s="245"/>
      <c r="C274" s="245"/>
      <c r="D274" s="246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247"/>
      <c r="B275" s="248"/>
      <c r="C275" s="248"/>
      <c r="D275" s="249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241" t="s">
        <v>213</v>
      </c>
      <c r="B283" s="242"/>
      <c r="C283" s="242"/>
      <c r="D283" s="243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244"/>
      <c r="B284" s="245"/>
      <c r="C284" s="245"/>
      <c r="D284" s="246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244"/>
      <c r="B285" s="245"/>
      <c r="C285" s="245"/>
      <c r="D285" s="246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244"/>
      <c r="B286" s="245"/>
      <c r="C286" s="245"/>
      <c r="D286" s="246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244"/>
      <c r="B287" s="245"/>
      <c r="C287" s="245"/>
      <c r="D287" s="246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244"/>
      <c r="B288" s="245"/>
      <c r="C288" s="245"/>
      <c r="D288" s="246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244"/>
      <c r="B289" s="245"/>
      <c r="C289" s="245"/>
      <c r="D289" s="246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244"/>
      <c r="B290" s="245"/>
      <c r="C290" s="245"/>
      <c r="D290" s="246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244"/>
      <c r="B291" s="245"/>
      <c r="C291" s="245"/>
      <c r="D291" s="246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244"/>
      <c r="B292" s="245"/>
      <c r="C292" s="245"/>
      <c r="D292" s="246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244"/>
      <c r="B293" s="245"/>
      <c r="C293" s="245"/>
      <c r="D293" s="246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244"/>
      <c r="B294" s="245"/>
      <c r="C294" s="245"/>
      <c r="D294" s="246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244"/>
      <c r="B295" s="245"/>
      <c r="C295" s="245"/>
      <c r="D295" s="246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244"/>
      <c r="B296" s="245"/>
      <c r="C296" s="245"/>
      <c r="D296" s="246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244"/>
      <c r="B297" s="245"/>
      <c r="C297" s="245"/>
      <c r="D297" s="246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244"/>
      <c r="B298" s="245"/>
      <c r="C298" s="245"/>
      <c r="D298" s="246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244"/>
      <c r="B299" s="245"/>
      <c r="C299" s="245"/>
      <c r="D299" s="246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244"/>
      <c r="B300" s="245"/>
      <c r="C300" s="245"/>
      <c r="D300" s="246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244"/>
      <c r="B301" s="245"/>
      <c r="C301" s="245"/>
      <c r="D301" s="246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244"/>
      <c r="B302" s="245"/>
      <c r="C302" s="245"/>
      <c r="D302" s="246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244"/>
      <c r="B303" s="245"/>
      <c r="C303" s="245"/>
      <c r="D303" s="246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244"/>
      <c r="B304" s="245"/>
      <c r="C304" s="245"/>
      <c r="D304" s="246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244"/>
      <c r="B305" s="245"/>
      <c r="C305" s="245"/>
      <c r="D305" s="246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244"/>
      <c r="B306" s="245"/>
      <c r="C306" s="245"/>
      <c r="D306" s="246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244"/>
      <c r="B307" s="245"/>
      <c r="C307" s="245"/>
      <c r="D307" s="246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244"/>
      <c r="B308" s="245"/>
      <c r="C308" s="245"/>
      <c r="D308" s="246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244"/>
      <c r="B309" s="245"/>
      <c r="C309" s="245"/>
      <c r="D309" s="246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244"/>
      <c r="B310" s="245"/>
      <c r="C310" s="245"/>
      <c r="D310" s="246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244"/>
      <c r="B311" s="245"/>
      <c r="C311" s="245"/>
      <c r="D311" s="246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244"/>
      <c r="B312" s="245"/>
      <c r="C312" s="245"/>
      <c r="D312" s="246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244"/>
      <c r="B313" s="245"/>
      <c r="C313" s="245"/>
      <c r="D313" s="246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244"/>
      <c r="B314" s="245"/>
      <c r="C314" s="245"/>
      <c r="D314" s="246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247"/>
      <c r="B315" s="248"/>
      <c r="C315" s="248"/>
      <c r="D315" s="249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2.75" customHeight="1">
      <c r="A320" s="57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20.25">
      <c r="A403" s="308"/>
      <c r="B403" s="308"/>
      <c r="C403" s="308"/>
      <c r="D403" s="308"/>
      <c r="E403" s="308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20.25">
      <c r="A404" s="308"/>
      <c r="B404" s="308"/>
      <c r="C404" s="308"/>
      <c r="D404" s="308"/>
      <c r="E404" s="308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20.25">
      <c r="A405" s="308"/>
      <c r="B405" s="308"/>
      <c r="C405" s="308"/>
      <c r="D405" s="308"/>
      <c r="E405" s="308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20.25">
      <c r="A406" s="308"/>
      <c r="B406" s="308"/>
      <c r="C406" s="308"/>
      <c r="D406" s="308"/>
      <c r="E406" s="308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20.25">
      <c r="A407" s="308"/>
      <c r="B407" s="308"/>
      <c r="C407" s="308"/>
      <c r="D407" s="308"/>
      <c r="E407" s="308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20.25">
      <c r="A408" s="308"/>
      <c r="B408" s="308"/>
      <c r="C408" s="308"/>
      <c r="D408" s="308"/>
      <c r="E408" s="308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20.25">
      <c r="A409" s="308"/>
      <c r="B409" s="308"/>
      <c r="C409" s="308"/>
      <c r="D409" s="308"/>
      <c r="E409" s="308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20.25">
      <c r="A410" s="308"/>
      <c r="B410" s="308"/>
      <c r="C410" s="308"/>
      <c r="D410" s="308"/>
      <c r="E410" s="308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20.25">
      <c r="A411" s="308"/>
      <c r="B411" s="308"/>
      <c r="C411" s="308"/>
      <c r="D411" s="308"/>
      <c r="E411" s="308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20.25">
      <c r="A412" s="308"/>
      <c r="B412" s="308"/>
      <c r="C412" s="308"/>
      <c r="D412" s="308"/>
      <c r="E412" s="308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20.25">
      <c r="A413" s="308"/>
      <c r="B413" s="308"/>
      <c r="C413" s="308"/>
      <c r="D413" s="308"/>
      <c r="E413" s="308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20.25">
      <c r="A414" s="308"/>
      <c r="B414" s="308"/>
      <c r="C414" s="308"/>
      <c r="D414" s="308"/>
      <c r="E414" s="308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20.25">
      <c r="A415" s="308"/>
      <c r="B415" s="308"/>
      <c r="C415" s="308"/>
      <c r="D415" s="308"/>
      <c r="E415" s="308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20.25">
      <c r="A416" s="308"/>
      <c r="B416" s="308"/>
      <c r="C416" s="308"/>
      <c r="D416" s="308"/>
      <c r="E416" s="308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20.25">
      <c r="A417" s="308"/>
      <c r="B417" s="308"/>
      <c r="C417" s="308"/>
      <c r="D417" s="308"/>
      <c r="E417" s="308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20.25">
      <c r="A418" s="308"/>
      <c r="B418" s="308"/>
      <c r="C418" s="308"/>
      <c r="D418" s="308"/>
      <c r="E418" s="308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20.25">
      <c r="A419" s="308"/>
      <c r="B419" s="308"/>
      <c r="C419" s="308"/>
      <c r="D419" s="308"/>
      <c r="E419" s="308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20.25">
      <c r="A420" s="308"/>
      <c r="B420" s="308"/>
      <c r="C420" s="308"/>
      <c r="D420" s="308"/>
      <c r="E420" s="308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20.25">
      <c r="A421" s="308"/>
      <c r="B421" s="308"/>
      <c r="C421" s="308"/>
      <c r="D421" s="308"/>
      <c r="E421" s="308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20.25">
      <c r="A422" s="308"/>
      <c r="B422" s="308"/>
      <c r="C422" s="308"/>
      <c r="D422" s="308"/>
      <c r="E422" s="308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20.25">
      <c r="A423" s="308"/>
      <c r="B423" s="308"/>
      <c r="C423" s="308"/>
      <c r="D423" s="308"/>
      <c r="E423" s="308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20.25">
      <c r="A424" s="308"/>
      <c r="B424" s="308"/>
      <c r="C424" s="308"/>
      <c r="D424" s="308"/>
      <c r="E424" s="308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20.25">
      <c r="A425" s="308"/>
      <c r="B425" s="308"/>
      <c r="C425" s="308"/>
      <c r="D425" s="308"/>
      <c r="E425" s="308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20.25">
      <c r="A426" s="308"/>
      <c r="B426" s="308"/>
      <c r="C426" s="308"/>
      <c r="D426" s="308"/>
      <c r="E426" s="308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20.25">
      <c r="A427" s="308"/>
      <c r="B427" s="308"/>
      <c r="C427" s="308"/>
      <c r="D427" s="308"/>
      <c r="E427" s="308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20.25">
      <c r="A428" s="308"/>
      <c r="B428" s="308"/>
      <c r="C428" s="308"/>
      <c r="D428" s="308"/>
      <c r="E428" s="308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20.25">
      <c r="A429" s="308"/>
      <c r="B429" s="308"/>
      <c r="C429" s="308"/>
      <c r="D429" s="308"/>
      <c r="E429" s="308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20.25">
      <c r="A430" s="308"/>
      <c r="B430" s="308"/>
      <c r="C430" s="308"/>
      <c r="D430" s="308"/>
      <c r="E430" s="308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20.25">
      <c r="A431" s="308"/>
      <c r="B431" s="308"/>
      <c r="C431" s="308"/>
      <c r="D431" s="308"/>
      <c r="E431" s="308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20.25">
      <c r="A432" s="308"/>
      <c r="B432" s="308"/>
      <c r="C432" s="308"/>
      <c r="D432" s="308"/>
      <c r="E432" s="308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20.25">
      <c r="A433" s="308"/>
      <c r="B433" s="308"/>
      <c r="C433" s="308"/>
      <c r="D433" s="308"/>
      <c r="E433" s="308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20.25">
      <c r="A434" s="308"/>
      <c r="B434" s="308"/>
      <c r="C434" s="308"/>
      <c r="D434" s="308"/>
      <c r="E434" s="308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20.25">
      <c r="A435" s="308"/>
      <c r="B435" s="308"/>
      <c r="C435" s="308"/>
      <c r="D435" s="308"/>
      <c r="E435" s="308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20.25">
      <c r="A436" s="308"/>
      <c r="B436" s="308"/>
      <c r="C436" s="308"/>
      <c r="D436" s="308"/>
      <c r="E436" s="308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20.25">
      <c r="A437" s="308"/>
      <c r="B437" s="308"/>
      <c r="C437" s="308"/>
      <c r="D437" s="308"/>
      <c r="E437" s="308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20.25">
      <c r="A438" s="308"/>
      <c r="B438" s="308"/>
      <c r="C438" s="308"/>
      <c r="D438" s="308"/>
      <c r="E438" s="308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20.25">
      <c r="A439" s="308"/>
      <c r="B439" s="308"/>
      <c r="C439" s="308"/>
      <c r="D439" s="308"/>
      <c r="E439" s="308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20.25">
      <c r="A440" s="308"/>
      <c r="B440" s="308"/>
      <c r="C440" s="308"/>
      <c r="D440" s="308"/>
      <c r="E440" s="308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20.25">
      <c r="A441" s="308"/>
      <c r="B441" s="308"/>
      <c r="C441" s="308"/>
      <c r="D441" s="308"/>
      <c r="E441" s="308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20.25">
      <c r="A442" s="308"/>
      <c r="B442" s="308"/>
      <c r="C442" s="308"/>
      <c r="D442" s="308"/>
      <c r="E442" s="308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20.25">
      <c r="A443" s="308"/>
      <c r="B443" s="308"/>
      <c r="C443" s="308"/>
      <c r="D443" s="308"/>
      <c r="E443" s="308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20.25">
      <c r="A444" s="308"/>
      <c r="B444" s="308"/>
      <c r="C444" s="308"/>
      <c r="D444" s="308"/>
      <c r="E444" s="308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20.25">
      <c r="A445" s="315"/>
      <c r="B445" s="315"/>
      <c r="C445" s="315"/>
      <c r="D445" s="315"/>
      <c r="E445" s="316"/>
    </row>
    <row r="446" spans="1:5" ht="20.25">
      <c r="A446" s="259"/>
      <c r="B446" s="259"/>
      <c r="C446" s="259"/>
      <c r="D446" s="259"/>
      <c r="E446" s="260"/>
    </row>
    <row r="447" spans="1:5" ht="20.25">
      <c r="A447" s="259"/>
      <c r="B447" s="259"/>
      <c r="C447" s="259"/>
      <c r="D447" s="259"/>
      <c r="E447" s="260"/>
    </row>
    <row r="448" spans="1:5" ht="20.25">
      <c r="A448" s="259"/>
      <c r="B448" s="259"/>
      <c r="C448" s="259"/>
      <c r="D448" s="259"/>
      <c r="E448" s="260"/>
    </row>
    <row r="449" spans="1:5" ht="20.25">
      <c r="A449" s="259"/>
      <c r="B449" s="259"/>
      <c r="C449" s="259"/>
      <c r="D449" s="259"/>
      <c r="E449" s="260"/>
    </row>
    <row r="450" spans="1:5" ht="20.25">
      <c r="A450" s="259"/>
      <c r="B450" s="259"/>
      <c r="C450" s="259"/>
      <c r="D450" s="259"/>
      <c r="E450" s="260"/>
    </row>
  </sheetData>
  <sheetProtection/>
  <mergeCells count="590">
    <mergeCell ref="A439:E440"/>
    <mergeCell ref="AK179:AL180"/>
    <mergeCell ref="W181:AG181"/>
    <mergeCell ref="A179:E180"/>
    <mergeCell ref="AI179:AJ180"/>
    <mergeCell ref="AH179:AH180"/>
    <mergeCell ref="A415:E416"/>
    <mergeCell ref="A431:E432"/>
    <mergeCell ref="A417:E418"/>
    <mergeCell ref="A419:E420"/>
    <mergeCell ref="A449:E450"/>
    <mergeCell ref="A447:E448"/>
    <mergeCell ref="A425:E426"/>
    <mergeCell ref="A427:E428"/>
    <mergeCell ref="A429:E430"/>
    <mergeCell ref="A423:E424"/>
    <mergeCell ref="A437:E438"/>
    <mergeCell ref="A445:E446"/>
    <mergeCell ref="A433:E434"/>
    <mergeCell ref="A435:E436"/>
    <mergeCell ref="V89:V90"/>
    <mergeCell ref="A163:E164"/>
    <mergeCell ref="A165:E166"/>
    <mergeCell ref="A169:E170"/>
    <mergeCell ref="A171:E172"/>
    <mergeCell ref="A409:E410"/>
    <mergeCell ref="A405:E406"/>
    <mergeCell ref="U89:U90"/>
    <mergeCell ref="G89:G90"/>
    <mergeCell ref="A143:E144"/>
    <mergeCell ref="A411:E412"/>
    <mergeCell ref="A413:E414"/>
    <mergeCell ref="AI121:AJ122"/>
    <mergeCell ref="AI115:AJ116"/>
    <mergeCell ref="AA89:AA90"/>
    <mergeCell ref="A443:E444"/>
    <mergeCell ref="A441:E442"/>
    <mergeCell ref="R89:R90"/>
    <mergeCell ref="S89:S90"/>
    <mergeCell ref="T89:T90"/>
    <mergeCell ref="AH103:AH104"/>
    <mergeCell ref="AH105:AH106"/>
    <mergeCell ref="AH107:AH108"/>
    <mergeCell ref="AH109:AH110"/>
    <mergeCell ref="AH111:AH112"/>
    <mergeCell ref="AH113:AH114"/>
    <mergeCell ref="AI129:AJ130"/>
    <mergeCell ref="AH177:AH178"/>
    <mergeCell ref="AI177:AJ178"/>
    <mergeCell ref="A177:E178"/>
    <mergeCell ref="H89:H90"/>
    <mergeCell ref="A139:E140"/>
    <mergeCell ref="A141:E142"/>
    <mergeCell ref="A135:E136"/>
    <mergeCell ref="A137:E138"/>
    <mergeCell ref="AI123:AJ124"/>
    <mergeCell ref="A421:E422"/>
    <mergeCell ref="A407:E408"/>
    <mergeCell ref="A115:E116"/>
    <mergeCell ref="A133:E134"/>
    <mergeCell ref="A173:E174"/>
    <mergeCell ref="F89:F90"/>
    <mergeCell ref="A147:E148"/>
    <mergeCell ref="A91:E92"/>
    <mergeCell ref="A403:E404"/>
    <mergeCell ref="A149:E150"/>
    <mergeCell ref="A145:E146"/>
    <mergeCell ref="AI131:AJ132"/>
    <mergeCell ref="AI133:AJ134"/>
    <mergeCell ref="AI165:AJ166"/>
    <mergeCell ref="AI143:AJ144"/>
    <mergeCell ref="AI145:AJ146"/>
    <mergeCell ref="AI161:AJ162"/>
    <mergeCell ref="AI147:AJ148"/>
    <mergeCell ref="AI153:AJ154"/>
    <mergeCell ref="A131:E132"/>
    <mergeCell ref="AK177:AL178"/>
    <mergeCell ref="AI173:AJ174"/>
    <mergeCell ref="AK175:AL176"/>
    <mergeCell ref="AK169:AL170"/>
    <mergeCell ref="AK171:AL172"/>
    <mergeCell ref="AK173:AL174"/>
    <mergeCell ref="AI171:AJ172"/>
    <mergeCell ref="AI175:AJ176"/>
    <mergeCell ref="AI169:AJ170"/>
    <mergeCell ref="AK167:AL168"/>
    <mergeCell ref="AM9:AN11"/>
    <mergeCell ref="AE9:AF11"/>
    <mergeCell ref="AH25:AH26"/>
    <mergeCell ref="AI25:AJ26"/>
    <mergeCell ref="AH35:AH36"/>
    <mergeCell ref="AF89:AF90"/>
    <mergeCell ref="AI135:AJ136"/>
    <mergeCell ref="AI137:AJ138"/>
    <mergeCell ref="AI167:AJ168"/>
    <mergeCell ref="AK9:AL11"/>
    <mergeCell ref="AH1:AN1"/>
    <mergeCell ref="AG2:AN2"/>
    <mergeCell ref="AI9:AJ11"/>
    <mergeCell ref="AG9:AH11"/>
    <mergeCell ref="AF4:AN5"/>
    <mergeCell ref="AF7:AN7"/>
    <mergeCell ref="C9:E12"/>
    <mergeCell ref="U1:AE3"/>
    <mergeCell ref="U4:AE5"/>
    <mergeCell ref="X9:AC12"/>
    <mergeCell ref="C4:E5"/>
    <mergeCell ref="F4:G5"/>
    <mergeCell ref="H4:J5"/>
    <mergeCell ref="K4:M5"/>
    <mergeCell ref="Q6:S8"/>
    <mergeCell ref="Q4:S5"/>
    <mergeCell ref="AI24:AJ24"/>
    <mergeCell ref="U6:AE7"/>
    <mergeCell ref="G18:AF18"/>
    <mergeCell ref="N9:P12"/>
    <mergeCell ref="Q9:S12"/>
    <mergeCell ref="G19:N20"/>
    <mergeCell ref="Z19:AG20"/>
    <mergeCell ref="F13:G14"/>
    <mergeCell ref="W19:Y20"/>
    <mergeCell ref="F9:G12"/>
    <mergeCell ref="O89:O90"/>
    <mergeCell ref="P89:P90"/>
    <mergeCell ref="W89:W90"/>
    <mergeCell ref="AH27:AH28"/>
    <mergeCell ref="AH29:AH30"/>
    <mergeCell ref="C6:E8"/>
    <mergeCell ref="F6:G8"/>
    <mergeCell ref="Q13:S14"/>
    <mergeCell ref="H9:J12"/>
    <mergeCell ref="H6:J8"/>
    <mergeCell ref="AI117:AJ118"/>
    <mergeCell ref="M89:M90"/>
    <mergeCell ref="Q89:Q90"/>
    <mergeCell ref="I89:I90"/>
    <mergeCell ref="J89:J90"/>
    <mergeCell ref="K89:K90"/>
    <mergeCell ref="L89:L90"/>
    <mergeCell ref="N89:N90"/>
    <mergeCell ref="AI91:AJ92"/>
    <mergeCell ref="AD89:AD90"/>
    <mergeCell ref="AI119:AJ120"/>
    <mergeCell ref="AI141:AJ142"/>
    <mergeCell ref="AI163:AJ164"/>
    <mergeCell ref="AI155:AJ156"/>
    <mergeCell ref="AI157:AJ158"/>
    <mergeCell ref="AI151:AJ152"/>
    <mergeCell ref="AI149:AJ150"/>
    <mergeCell ref="AI159:AJ160"/>
    <mergeCell ref="AI139:AJ140"/>
    <mergeCell ref="AI127:AJ128"/>
    <mergeCell ref="AK127:AL128"/>
    <mergeCell ref="AK129:AL130"/>
    <mergeCell ref="AK131:AL132"/>
    <mergeCell ref="AI103:AJ104"/>
    <mergeCell ref="AI105:AJ106"/>
    <mergeCell ref="AI111:AJ112"/>
    <mergeCell ref="AI113:AJ114"/>
    <mergeCell ref="AI107:AJ108"/>
    <mergeCell ref="AI109:AJ110"/>
    <mergeCell ref="AI125:AJ126"/>
    <mergeCell ref="AK125:AL126"/>
    <mergeCell ref="AK117:AL118"/>
    <mergeCell ref="AK119:AL120"/>
    <mergeCell ref="AK121:AL122"/>
    <mergeCell ref="AK123:AL124"/>
    <mergeCell ref="AK157:AL158"/>
    <mergeCell ref="AK149:AL150"/>
    <mergeCell ref="AK151:AL152"/>
    <mergeCell ref="AK153:AL154"/>
    <mergeCell ref="AK155:AL156"/>
    <mergeCell ref="AK147:AL148"/>
    <mergeCell ref="AK133:AL134"/>
    <mergeCell ref="AK135:AL136"/>
    <mergeCell ref="AK137:AL138"/>
    <mergeCell ref="AK139:AL140"/>
    <mergeCell ref="AK141:AL142"/>
    <mergeCell ref="AK143:AL144"/>
    <mergeCell ref="AK145:AL146"/>
    <mergeCell ref="AK111:AL112"/>
    <mergeCell ref="AK113:AL114"/>
    <mergeCell ref="AK115:AL116"/>
    <mergeCell ref="AK101:AL102"/>
    <mergeCell ref="AK103:AL104"/>
    <mergeCell ref="AK105:AL106"/>
    <mergeCell ref="AK107:AL108"/>
    <mergeCell ref="AK109:AL110"/>
    <mergeCell ref="AI87:AJ88"/>
    <mergeCell ref="AI89:AJ90"/>
    <mergeCell ref="AK53:AL54"/>
    <mergeCell ref="AK55:AL56"/>
    <mergeCell ref="AK57:AL58"/>
    <mergeCell ref="AK59:AL60"/>
    <mergeCell ref="AK81:AL82"/>
    <mergeCell ref="AK65:AL66"/>
    <mergeCell ref="AK67:AL68"/>
    <mergeCell ref="AK89:AL90"/>
    <mergeCell ref="AI49:AJ50"/>
    <mergeCell ref="AI51:AJ52"/>
    <mergeCell ref="AI43:AJ44"/>
    <mergeCell ref="AI45:AJ46"/>
    <mergeCell ref="AI47:AJ48"/>
    <mergeCell ref="AI83:AJ84"/>
    <mergeCell ref="AK27:AL28"/>
    <mergeCell ref="AK43:AL44"/>
    <mergeCell ref="AK45:AL46"/>
    <mergeCell ref="AK47:AL48"/>
    <mergeCell ref="AK49:AL50"/>
    <mergeCell ref="AK35:AL36"/>
    <mergeCell ref="AK37:AL38"/>
    <mergeCell ref="AK39:AL40"/>
    <mergeCell ref="AK25:AL26"/>
    <mergeCell ref="AI67:AJ68"/>
    <mergeCell ref="AI33:AJ34"/>
    <mergeCell ref="AK29:AL30"/>
    <mergeCell ref="AK51:AL52"/>
    <mergeCell ref="AI35:AJ36"/>
    <mergeCell ref="AI29:AJ30"/>
    <mergeCell ref="AI31:AJ32"/>
    <mergeCell ref="AK33:AL34"/>
    <mergeCell ref="AK41:AL42"/>
    <mergeCell ref="AH37:AH38"/>
    <mergeCell ref="AH39:AH40"/>
    <mergeCell ref="AH41:AH42"/>
    <mergeCell ref="AI41:AJ42"/>
    <mergeCell ref="AI39:AJ40"/>
    <mergeCell ref="AI37:AJ38"/>
    <mergeCell ref="A99:E100"/>
    <mergeCell ref="AI77:AJ78"/>
    <mergeCell ref="AI79:AJ80"/>
    <mergeCell ref="AI81:AJ82"/>
    <mergeCell ref="AI71:AJ72"/>
    <mergeCell ref="AI75:AJ76"/>
    <mergeCell ref="AI73:AJ74"/>
    <mergeCell ref="AI85:AJ86"/>
    <mergeCell ref="AI95:AJ96"/>
    <mergeCell ref="AI93:AJ94"/>
    <mergeCell ref="AE89:AE90"/>
    <mergeCell ref="X89:X90"/>
    <mergeCell ref="Y89:Y90"/>
    <mergeCell ref="Z89:Z90"/>
    <mergeCell ref="AH93:AH94"/>
    <mergeCell ref="AB89:AB90"/>
    <mergeCell ref="AC89:AC90"/>
    <mergeCell ref="AG89:AG90"/>
    <mergeCell ref="A129:E130"/>
    <mergeCell ref="A123:E124"/>
    <mergeCell ref="A125:E126"/>
    <mergeCell ref="A127:E128"/>
    <mergeCell ref="AI97:AJ98"/>
    <mergeCell ref="A101:E102"/>
    <mergeCell ref="A103:E104"/>
    <mergeCell ref="AI99:AJ100"/>
    <mergeCell ref="AI101:AJ102"/>
    <mergeCell ref="AH97:AH98"/>
    <mergeCell ref="A95:E96"/>
    <mergeCell ref="A97:E98"/>
    <mergeCell ref="A119:E120"/>
    <mergeCell ref="A121:E122"/>
    <mergeCell ref="A107:E108"/>
    <mergeCell ref="A105:E106"/>
    <mergeCell ref="A117:E118"/>
    <mergeCell ref="A109:E110"/>
    <mergeCell ref="A111:E112"/>
    <mergeCell ref="A113:E114"/>
    <mergeCell ref="A77:E78"/>
    <mergeCell ref="A79:E80"/>
    <mergeCell ref="A81:E82"/>
    <mergeCell ref="A151:E152"/>
    <mergeCell ref="A153:E154"/>
    <mergeCell ref="A83:E84"/>
    <mergeCell ref="A85:E86"/>
    <mergeCell ref="A87:E88"/>
    <mergeCell ref="A89:E90"/>
    <mergeCell ref="A93:E94"/>
    <mergeCell ref="A65:E66"/>
    <mergeCell ref="A67:E68"/>
    <mergeCell ref="A69:E70"/>
    <mergeCell ref="A71:E72"/>
    <mergeCell ref="A73:E74"/>
    <mergeCell ref="A75:E76"/>
    <mergeCell ref="A45:E46"/>
    <mergeCell ref="A47:E48"/>
    <mergeCell ref="A57:E58"/>
    <mergeCell ref="A59:E60"/>
    <mergeCell ref="A61:E62"/>
    <mergeCell ref="A63:E64"/>
    <mergeCell ref="A27:E28"/>
    <mergeCell ref="A29:E30"/>
    <mergeCell ref="A31:E32"/>
    <mergeCell ref="A33:E34"/>
    <mergeCell ref="A35:E36"/>
    <mergeCell ref="A43:E44"/>
    <mergeCell ref="A155:E156"/>
    <mergeCell ref="A157:E158"/>
    <mergeCell ref="A167:E168"/>
    <mergeCell ref="A37:E38"/>
    <mergeCell ref="A39:E40"/>
    <mergeCell ref="A41:E42"/>
    <mergeCell ref="A49:E50"/>
    <mergeCell ref="A51:E52"/>
    <mergeCell ref="A53:E54"/>
    <mergeCell ref="A55:E56"/>
    <mergeCell ref="A159:E160"/>
    <mergeCell ref="A161:E162"/>
    <mergeCell ref="A283:D315"/>
    <mergeCell ref="A263:D275"/>
    <mergeCell ref="A222:D257"/>
    <mergeCell ref="A175:E176"/>
    <mergeCell ref="A183:D214"/>
    <mergeCell ref="A181:V181"/>
    <mergeCell ref="K13:M14"/>
    <mergeCell ref="A1:S1"/>
    <mergeCell ref="A2:B5"/>
    <mergeCell ref="A6:B16"/>
    <mergeCell ref="N6:P8"/>
    <mergeCell ref="K9:M12"/>
    <mergeCell ref="H13:J14"/>
    <mergeCell ref="C2:S3"/>
    <mergeCell ref="K6:M8"/>
    <mergeCell ref="N4:P5"/>
    <mergeCell ref="A25:E26"/>
    <mergeCell ref="N13:P14"/>
    <mergeCell ref="A18:E18"/>
    <mergeCell ref="F18:F21"/>
    <mergeCell ref="A19:E21"/>
    <mergeCell ref="A22:E22"/>
    <mergeCell ref="A23:E23"/>
    <mergeCell ref="A24:E24"/>
    <mergeCell ref="O19:V20"/>
    <mergeCell ref="C13:E16"/>
    <mergeCell ref="AH69:AH70"/>
    <mergeCell ref="AK31:AL32"/>
    <mergeCell ref="AH43:AH44"/>
    <mergeCell ref="AK24:AL24"/>
    <mergeCell ref="AI27:AJ28"/>
    <mergeCell ref="AI53:AJ54"/>
    <mergeCell ref="AI61:AJ62"/>
    <mergeCell ref="AI63:AJ64"/>
    <mergeCell ref="AI59:AJ60"/>
    <mergeCell ref="AI57:AJ58"/>
    <mergeCell ref="AH67:AH68"/>
    <mergeCell ref="AK22:AL22"/>
    <mergeCell ref="AK21:AL21"/>
    <mergeCell ref="AI22:AJ22"/>
    <mergeCell ref="AK23:AL23"/>
    <mergeCell ref="AI18:AJ21"/>
    <mergeCell ref="AK18:AN18"/>
    <mergeCell ref="AK19:AN20"/>
    <mergeCell ref="AH18:AH21"/>
    <mergeCell ref="AI55:AJ56"/>
    <mergeCell ref="AH71:AH72"/>
    <mergeCell ref="AI23:AJ23"/>
    <mergeCell ref="AI65:AJ66"/>
    <mergeCell ref="AI69:AJ70"/>
    <mergeCell ref="AH33:AH34"/>
    <mergeCell ref="AH31:AH32"/>
    <mergeCell ref="AH61:AH62"/>
    <mergeCell ref="AH63:AH64"/>
    <mergeCell ref="AH65:AH66"/>
    <mergeCell ref="AH59:AH60"/>
    <mergeCell ref="AK159:AL160"/>
    <mergeCell ref="AK91:AL92"/>
    <mergeCell ref="AK71:AL72"/>
    <mergeCell ref="AK73:AL74"/>
    <mergeCell ref="AK95:AL96"/>
    <mergeCell ref="AK97:AL98"/>
    <mergeCell ref="AK77:AL78"/>
    <mergeCell ref="AK79:AL80"/>
    <mergeCell ref="AK99:AL100"/>
    <mergeCell ref="AK87:AL88"/>
    <mergeCell ref="AK165:AL166"/>
    <mergeCell ref="AK61:AL62"/>
    <mergeCell ref="AK63:AL64"/>
    <mergeCell ref="AK161:AL162"/>
    <mergeCell ref="AK75:AL76"/>
    <mergeCell ref="AK83:AL84"/>
    <mergeCell ref="AK93:AL94"/>
    <mergeCell ref="AK85:AL86"/>
    <mergeCell ref="AK69:AL70"/>
    <mergeCell ref="AK163:AL164"/>
    <mergeCell ref="AH45:AH46"/>
    <mergeCell ref="AH47:AH48"/>
    <mergeCell ref="AH57:AH58"/>
    <mergeCell ref="AH49:AH50"/>
    <mergeCell ref="AH51:AH52"/>
    <mergeCell ref="AH53:AH54"/>
    <mergeCell ref="AH55:AH56"/>
    <mergeCell ref="AH73:AH74"/>
    <mergeCell ref="AH75:AH76"/>
    <mergeCell ref="AH81:AH82"/>
    <mergeCell ref="AH83:AH84"/>
    <mergeCell ref="AH77:AH78"/>
    <mergeCell ref="AH79:AH80"/>
    <mergeCell ref="AH99:AH100"/>
    <mergeCell ref="AH101:AH102"/>
    <mergeCell ref="AH85:AH86"/>
    <mergeCell ref="AH91:AH92"/>
    <mergeCell ref="AH87:AH88"/>
    <mergeCell ref="AH89:AH90"/>
    <mergeCell ref="AH95:AH96"/>
    <mergeCell ref="AH123:AH124"/>
    <mergeCell ref="AH125:AH126"/>
    <mergeCell ref="AH127:AH128"/>
    <mergeCell ref="AH129:AH130"/>
    <mergeCell ref="AH115:AH116"/>
    <mergeCell ref="AH117:AH118"/>
    <mergeCell ref="AH119:AH120"/>
    <mergeCell ref="AH121:AH122"/>
    <mergeCell ref="AH139:AH140"/>
    <mergeCell ref="AH141:AH142"/>
    <mergeCell ref="AH143:AH144"/>
    <mergeCell ref="AH145:AH146"/>
    <mergeCell ref="AH131:AH132"/>
    <mergeCell ref="AH133:AH134"/>
    <mergeCell ref="AH135:AH136"/>
    <mergeCell ref="AH137:AH138"/>
    <mergeCell ref="AH155:AH156"/>
    <mergeCell ref="AH157:AH158"/>
    <mergeCell ref="AH159:AH160"/>
    <mergeCell ref="AH161:AH162"/>
    <mergeCell ref="AH147:AH148"/>
    <mergeCell ref="AH149:AH150"/>
    <mergeCell ref="AH151:AH152"/>
    <mergeCell ref="AH153:AH154"/>
    <mergeCell ref="AH171:AH172"/>
    <mergeCell ref="AH173:AH174"/>
    <mergeCell ref="AH175:AH176"/>
    <mergeCell ref="AH163:AH164"/>
    <mergeCell ref="AH165:AH166"/>
    <mergeCell ref="AH167:AH168"/>
    <mergeCell ref="AH169:AH170"/>
    <mergeCell ref="AN31:AN32"/>
    <mergeCell ref="AM25:AM26"/>
    <mergeCell ref="AN25:AN26"/>
    <mergeCell ref="AM27:AM28"/>
    <mergeCell ref="AN27:AN28"/>
    <mergeCell ref="AM31:AM32"/>
    <mergeCell ref="AM29:AM30"/>
    <mergeCell ref="AN29:AN30"/>
    <mergeCell ref="AM33:AM34"/>
    <mergeCell ref="AN33:AN34"/>
    <mergeCell ref="AM35:AM36"/>
    <mergeCell ref="AN35:AN36"/>
    <mergeCell ref="AM37:AM38"/>
    <mergeCell ref="AN37:AN38"/>
    <mergeCell ref="AM41:AM42"/>
    <mergeCell ref="AN41:AN42"/>
    <mergeCell ref="AM43:AM44"/>
    <mergeCell ref="AN43:AN44"/>
    <mergeCell ref="AM39:AM40"/>
    <mergeCell ref="AN39:AN40"/>
    <mergeCell ref="AM49:AM50"/>
    <mergeCell ref="AN49:AN50"/>
    <mergeCell ref="AM51:AM52"/>
    <mergeCell ref="AN51:AN52"/>
    <mergeCell ref="AM45:AM46"/>
    <mergeCell ref="AN45:AN46"/>
    <mergeCell ref="AM47:AM48"/>
    <mergeCell ref="AN47:AN48"/>
    <mergeCell ref="AM57:AM58"/>
    <mergeCell ref="AN57:AN58"/>
    <mergeCell ref="AM59:AM60"/>
    <mergeCell ref="AN59:AN60"/>
    <mergeCell ref="AM53:AM54"/>
    <mergeCell ref="AN53:AN54"/>
    <mergeCell ref="AM55:AM56"/>
    <mergeCell ref="AN55:AN56"/>
    <mergeCell ref="AM65:AM66"/>
    <mergeCell ref="AN65:AN66"/>
    <mergeCell ref="AM67:AM68"/>
    <mergeCell ref="AN67:AN68"/>
    <mergeCell ref="AM61:AM62"/>
    <mergeCell ref="AN61:AN62"/>
    <mergeCell ref="AM63:AM64"/>
    <mergeCell ref="AN63:AN64"/>
    <mergeCell ref="AM73:AM74"/>
    <mergeCell ref="AN73:AN74"/>
    <mergeCell ref="AM75:AM76"/>
    <mergeCell ref="AN75:AN76"/>
    <mergeCell ref="AM69:AM70"/>
    <mergeCell ref="AN69:AN70"/>
    <mergeCell ref="AM71:AM72"/>
    <mergeCell ref="AN71:AN72"/>
    <mergeCell ref="AM81:AM82"/>
    <mergeCell ref="AN81:AN82"/>
    <mergeCell ref="AM83:AM84"/>
    <mergeCell ref="AN83:AN84"/>
    <mergeCell ref="AM77:AM78"/>
    <mergeCell ref="AN77:AN78"/>
    <mergeCell ref="AM79:AM80"/>
    <mergeCell ref="AN79:AN80"/>
    <mergeCell ref="AM89:AM90"/>
    <mergeCell ref="AN89:AN90"/>
    <mergeCell ref="AM91:AM92"/>
    <mergeCell ref="AN91:AN92"/>
    <mergeCell ref="AM85:AM86"/>
    <mergeCell ref="AN85:AN86"/>
    <mergeCell ref="AM87:AM88"/>
    <mergeCell ref="AN87:AN88"/>
    <mergeCell ref="AM97:AM98"/>
    <mergeCell ref="AN97:AN98"/>
    <mergeCell ref="AM99:AM100"/>
    <mergeCell ref="AN99:AN100"/>
    <mergeCell ref="AM93:AM94"/>
    <mergeCell ref="AN93:AN94"/>
    <mergeCell ref="AM95:AM96"/>
    <mergeCell ref="AN95:AN96"/>
    <mergeCell ref="AM105:AM106"/>
    <mergeCell ref="AN105:AN106"/>
    <mergeCell ref="AM107:AM108"/>
    <mergeCell ref="AN107:AN108"/>
    <mergeCell ref="AM101:AM102"/>
    <mergeCell ref="AN101:AN102"/>
    <mergeCell ref="AM103:AM104"/>
    <mergeCell ref="AN103:AN104"/>
    <mergeCell ref="AM113:AM114"/>
    <mergeCell ref="AN113:AN114"/>
    <mergeCell ref="AM115:AM116"/>
    <mergeCell ref="AN115:AN116"/>
    <mergeCell ref="AM109:AM110"/>
    <mergeCell ref="AN109:AN110"/>
    <mergeCell ref="AM111:AM112"/>
    <mergeCell ref="AN111:AN112"/>
    <mergeCell ref="AM121:AM122"/>
    <mergeCell ref="AN121:AN122"/>
    <mergeCell ref="AM123:AM124"/>
    <mergeCell ref="AN123:AN124"/>
    <mergeCell ref="AM117:AM118"/>
    <mergeCell ref="AN117:AN118"/>
    <mergeCell ref="AM119:AM120"/>
    <mergeCell ref="AN119:AN120"/>
    <mergeCell ref="AM129:AM130"/>
    <mergeCell ref="AN129:AN130"/>
    <mergeCell ref="AM131:AM132"/>
    <mergeCell ref="AN131:AN132"/>
    <mergeCell ref="AM125:AM126"/>
    <mergeCell ref="AN125:AN126"/>
    <mergeCell ref="AM127:AM128"/>
    <mergeCell ref="AN127:AN128"/>
    <mergeCell ref="AM137:AM138"/>
    <mergeCell ref="AN137:AN138"/>
    <mergeCell ref="AM139:AM140"/>
    <mergeCell ref="AN139:AN140"/>
    <mergeCell ref="AM133:AM134"/>
    <mergeCell ref="AN133:AN134"/>
    <mergeCell ref="AM135:AM136"/>
    <mergeCell ref="AN135:AN136"/>
    <mergeCell ref="AM145:AM146"/>
    <mergeCell ref="AN145:AN146"/>
    <mergeCell ref="AM147:AM148"/>
    <mergeCell ref="AN147:AN148"/>
    <mergeCell ref="AM141:AM142"/>
    <mergeCell ref="AN141:AN142"/>
    <mergeCell ref="AM143:AM144"/>
    <mergeCell ref="AN143:AN144"/>
    <mergeCell ref="AM149:AM150"/>
    <mergeCell ref="AN149:AN150"/>
    <mergeCell ref="AM151:AM152"/>
    <mergeCell ref="AN151:AN152"/>
    <mergeCell ref="AM153:AM154"/>
    <mergeCell ref="AN153:AN154"/>
    <mergeCell ref="AN155:AN156"/>
    <mergeCell ref="AM157:AM158"/>
    <mergeCell ref="AN157:AN158"/>
    <mergeCell ref="AN163:AN164"/>
    <mergeCell ref="AM169:AM170"/>
    <mergeCell ref="AN169:AN170"/>
    <mergeCell ref="AM159:AM160"/>
    <mergeCell ref="AN159:AN160"/>
    <mergeCell ref="AM163:AM164"/>
    <mergeCell ref="AM155:AM156"/>
    <mergeCell ref="AM171:AM172"/>
    <mergeCell ref="AM173:AM174"/>
    <mergeCell ref="AN173:AN174"/>
    <mergeCell ref="AM167:AM168"/>
    <mergeCell ref="AN167:AN168"/>
    <mergeCell ref="AM165:AM166"/>
    <mergeCell ref="AN165:AN166"/>
    <mergeCell ref="AM181:AN181"/>
    <mergeCell ref="AM179:AM180"/>
    <mergeCell ref="AN179:AN180"/>
    <mergeCell ref="AM161:AM162"/>
    <mergeCell ref="AN161:AN162"/>
    <mergeCell ref="AN171:AN172"/>
    <mergeCell ref="AM177:AM178"/>
    <mergeCell ref="AN177:AN178"/>
    <mergeCell ref="AM175:AM176"/>
    <mergeCell ref="AN175:AN176"/>
  </mergeCells>
  <dataValidations count="1">
    <dataValidation type="list" allowBlank="1" showInputMessage="1" showErrorMessage="1" sqref="G23 Z23 W23 O23">
      <formula1>$AP$2:$AP$99</formula1>
    </dataValidation>
  </dataValidations>
  <printOptions/>
  <pageMargins left="0" right="0.1968503937007874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2021-05-12T06:27:10Z</cp:lastPrinted>
  <dcterms:created xsi:type="dcterms:W3CDTF">1996-10-08T23:32:33Z</dcterms:created>
  <dcterms:modified xsi:type="dcterms:W3CDTF">2021-05-14T04:39:26Z</dcterms:modified>
  <cp:category/>
  <cp:version/>
  <cp:contentType/>
  <cp:contentStatus/>
</cp:coreProperties>
</file>